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270" yWindow="120" windowWidth="14865" windowHeight="9735" tabRatio="837"/>
  </bookViews>
  <sheets>
    <sheet name="Objectifs CO2" sheetId="2" r:id="rId1"/>
    <sheet name="Objectifs ECO" sheetId="52" r:id="rId2"/>
    <sheet name="Objectifs PER" sheetId="53" r:id="rId3"/>
    <sheet name="Synthèse CO2" sheetId="10" r:id="rId4"/>
    <sheet name="Synthèse ECO" sheetId="50" r:id="rId5"/>
    <sheet name="Synthèse PER" sheetId="51" r:id="rId6"/>
    <sheet name="Budget" sheetId="47" r:id="rId7"/>
    <sheet name="ADO-1" sheetId="36" r:id="rId8"/>
    <sheet name="ADO-2" sheetId="48" r:id="rId9"/>
    <sheet name="ADO-3" sheetId="1" r:id="rId10"/>
    <sheet name="ADO-4" sheetId="3" r:id="rId11"/>
    <sheet name="ADO-5" sheetId="5" r:id="rId12"/>
    <sheet name="ADO-6" sheetId="6" r:id="rId13"/>
    <sheet name="ADO-7" sheetId="11" r:id="rId14"/>
    <sheet name="ADO-8" sheetId="7" r:id="rId15"/>
    <sheet name="ADO-9" sheetId="12" r:id="rId16"/>
    <sheet name="ADO-10" sheetId="13" r:id="rId17"/>
    <sheet name="ADO-11" sheetId="14" r:id="rId18"/>
    <sheet name="ADO-12" sheetId="76" r:id="rId19"/>
    <sheet name="ADO-13" sheetId="77" r:id="rId20"/>
    <sheet name="ADO-14" sheetId="82" r:id="rId21"/>
    <sheet name="ADO-15" sheetId="81" r:id="rId22"/>
    <sheet name="ADO-16" sheetId="103" r:id="rId23"/>
    <sheet name="ADO-17" sheetId="104" r:id="rId24"/>
    <sheet name="ADU-1" sheetId="15" r:id="rId25"/>
    <sheet name="ADU-2" sheetId="16" r:id="rId26"/>
    <sheet name="ADU-221" sheetId="68" r:id="rId27"/>
    <sheet name="ADU-222" sheetId="75" r:id="rId28"/>
    <sheet name="ADU-223" sheetId="92" r:id="rId29"/>
    <sheet name="ADU-3" sheetId="17" r:id="rId30"/>
    <sheet name="ADU-5" sheetId="18" r:id="rId31"/>
    <sheet name="ADU-51" sheetId="106" r:id="rId32"/>
    <sheet name="ADU-52" sheetId="107" r:id="rId33"/>
    <sheet name="ADU-53" sheetId="108" r:id="rId34"/>
    <sheet name="ADU-6" sheetId="19" r:id="rId35"/>
    <sheet name="ADU-61" sheetId="67" r:id="rId36"/>
    <sheet name="ADU-62" sheetId="101" r:id="rId37"/>
    <sheet name="ADU-7" sheetId="20" r:id="rId38"/>
    <sheet name="ADU-8" sheetId="21" r:id="rId39"/>
    <sheet name="ADU-9" sheetId="22" r:id="rId40"/>
    <sheet name="ADU-10" sheetId="23" r:id="rId41"/>
    <sheet name="ADU-110" sheetId="66" r:id="rId42"/>
    <sheet name="ADU-111" sheetId="59" r:id="rId43"/>
    <sheet name="ADU-112" sheetId="58" r:id="rId44"/>
    <sheet name="ADU-113" sheetId="24" r:id="rId45"/>
    <sheet name="ADU-114" sheetId="80" r:id="rId46"/>
    <sheet name="ADU-12" sheetId="25" r:id="rId47"/>
    <sheet name="ADU-13" sheetId="26" r:id="rId48"/>
    <sheet name="ADU-131" sheetId="97" r:id="rId49"/>
    <sheet name="ADU-14" sheetId="27" r:id="rId50"/>
    <sheet name="ADU-15" sheetId="28" r:id="rId51"/>
    <sheet name="ADU-16" sheetId="29" r:id="rId52"/>
    <sheet name="ADU-17" sheetId="31" r:id="rId53"/>
    <sheet name="ADU-18" sheetId="32" r:id="rId54"/>
    <sheet name="ADU-19" sheetId="33" r:id="rId55"/>
    <sheet name="ADU-20" sheetId="34" r:id="rId56"/>
    <sheet name="ADU-21" sheetId="35" r:id="rId57"/>
    <sheet name="ADU-22" sheetId="37" r:id="rId58"/>
    <sheet name="ADU-23" sheetId="38" r:id="rId59"/>
    <sheet name="ADU-24" sheetId="39" r:id="rId60"/>
    <sheet name="ADU-25" sheetId="40" r:id="rId61"/>
    <sheet name="ADU-26" sheetId="41" r:id="rId62"/>
    <sheet name="ADU-261" sheetId="96" r:id="rId63"/>
    <sheet name="ADU-27" sheetId="42" r:id="rId64"/>
    <sheet name="ADU-28" sheetId="43" r:id="rId65"/>
    <sheet name="ADU-29" sheetId="44" r:id="rId66"/>
    <sheet name="ADU-30" sheetId="45" r:id="rId67"/>
    <sheet name="ADU-31" sheetId="46" r:id="rId68"/>
    <sheet name="ADU-311" sheetId="88" r:id="rId69"/>
    <sheet name="ADU-32" sheetId="54" r:id="rId70"/>
    <sheet name="ADU-33" sheetId="55" r:id="rId71"/>
    <sheet name="ADU-331" sheetId="99" r:id="rId72"/>
    <sheet name="ADU-332" sheetId="109" r:id="rId73"/>
    <sheet name="ADU-333" sheetId="100" r:id="rId74"/>
    <sheet name="ADU-34" sheetId="56" r:id="rId75"/>
    <sheet name="ADU-341" sheetId="89" r:id="rId76"/>
    <sheet name="ADU-35" sheetId="57" r:id="rId77"/>
    <sheet name="ADU-351" sheetId="105" r:id="rId78"/>
    <sheet name="ADU-361" sheetId="72" r:id="rId79"/>
    <sheet name="ADU-362" sheetId="83" r:id="rId80"/>
    <sheet name="ADU-363" sheetId="84" r:id="rId81"/>
    <sheet name="ADU-364" sheetId="85" r:id="rId82"/>
    <sheet name="ADU-365" sheetId="86" r:id="rId83"/>
    <sheet name="ADU-37" sheetId="71" r:id="rId84"/>
    <sheet name="ADU-371" sheetId="102" r:id="rId85"/>
    <sheet name="ADU-38" sheetId="70" r:id="rId86"/>
    <sheet name="ADU-381" sheetId="90" r:id="rId87"/>
    <sheet name="ADU-389" sheetId="98" r:id="rId88"/>
    <sheet name="ADU-39" sheetId="69" r:id="rId89"/>
    <sheet name="ADU-40" sheetId="87" r:id="rId90"/>
    <sheet name="ADU-41" sheetId="30" r:id="rId91"/>
    <sheet name="ADU-42" sheetId="78" r:id="rId92"/>
    <sheet name="ADU-43" sheetId="79" r:id="rId93"/>
    <sheet name="ADU-44" sheetId="91" r:id="rId94"/>
    <sheet name="TOIT" sheetId="60" r:id="rId95"/>
    <sheet name="MUR" sheetId="61" r:id="rId96"/>
    <sheet name="SOL" sheetId="62" r:id="rId97"/>
    <sheet name="FEN" sheetId="63" r:id="rId98"/>
    <sheet name="CHAUD" sheetId="64" r:id="rId99"/>
    <sheet name="RESUM" sheetId="65" r:id="rId100"/>
    <sheet name="RESUME CRITERES" sheetId="73" r:id="rId101"/>
    <sheet name="CALENDRIER" sheetId="74" r:id="rId102"/>
    <sheet name="Feuil1" sheetId="93" r:id="rId103"/>
  </sheets>
  <externalReferences>
    <externalReference r:id="rId104"/>
    <externalReference r:id="rId105"/>
    <externalReference r:id="rId106"/>
    <externalReference r:id="rId107"/>
    <externalReference r:id="rId108"/>
    <externalReference r:id="rId109"/>
    <externalReference r:id="rId110"/>
  </externalReferences>
  <definedNames>
    <definedName name="_xlnm._FilterDatabase" localSheetId="3" hidden="1">'Synthèse CO2'!$A$1:$X$66</definedName>
    <definedName name="_xlnm.Print_Area" localSheetId="7">'ADO-1'!$A$1:$E$28</definedName>
    <definedName name="_xlnm.Print_Area" localSheetId="16">'ADO-10'!$A$1:$E$27</definedName>
    <definedName name="_xlnm.Print_Area" localSheetId="17">'ADO-11'!$A$1:$E$27</definedName>
    <definedName name="_xlnm.Print_Area" localSheetId="18">'ADO-12'!$A$1:$E$28</definedName>
    <definedName name="_xlnm.Print_Area" localSheetId="19">'ADO-13'!$A$1:$E$28</definedName>
    <definedName name="_xlnm.Print_Area" localSheetId="20">'ADO-14'!$A$1:$E$28</definedName>
    <definedName name="_xlnm.Print_Area" localSheetId="21">'ADO-15'!$A$1:$E$28</definedName>
    <definedName name="_xlnm.Print_Area" localSheetId="8">'ADO-2'!$A$1:$E$28</definedName>
    <definedName name="_xlnm.Print_Area" localSheetId="9">'ADO-3'!$A$1:$E$27</definedName>
    <definedName name="_xlnm.Print_Area" localSheetId="10">'ADO-4'!$A$1:$E$28</definedName>
    <definedName name="_xlnm.Print_Area" localSheetId="11">'ADO-5'!$A$1:$E$28</definedName>
    <definedName name="_xlnm.Print_Area" localSheetId="12">'ADO-6'!$A$1:$E$28</definedName>
    <definedName name="_xlnm.Print_Area" localSheetId="13">'ADO-7'!$A$1:$E$28</definedName>
    <definedName name="_xlnm.Print_Area" localSheetId="14">'ADO-8'!$A$1:$E$28</definedName>
    <definedName name="_xlnm.Print_Area" localSheetId="15">'ADO-9'!$A$1:$E$28</definedName>
    <definedName name="_xlnm.Print_Area" localSheetId="24">'ADU-1'!$A$1:$E$28</definedName>
    <definedName name="_xlnm.Print_Area" localSheetId="40">'ADU-10'!$A$1:$E$28</definedName>
    <definedName name="_xlnm.Print_Area" localSheetId="41">'ADU-110'!$A$1:$E$28</definedName>
    <definedName name="_xlnm.Print_Area" localSheetId="42">'ADU-111'!$A$1:$E$28</definedName>
    <definedName name="_xlnm.Print_Area" localSheetId="43">'ADU-112'!$A$1:$E$28</definedName>
    <definedName name="_xlnm.Print_Area" localSheetId="44">'ADU-113'!$A$1:$E$28</definedName>
    <definedName name="_xlnm.Print_Area" localSheetId="45">'ADU-114'!$A$1:$E$28</definedName>
    <definedName name="_xlnm.Print_Area" localSheetId="46">'ADU-12'!$A$1:$E$28</definedName>
    <definedName name="_xlnm.Print_Area" localSheetId="47">'ADU-13'!$A$1:$E$28</definedName>
    <definedName name="_xlnm.Print_Area" localSheetId="48">'ADU-131'!$A$1:$E$28</definedName>
    <definedName name="_xlnm.Print_Area" localSheetId="49">'ADU-14'!$A$1:$E$28</definedName>
    <definedName name="_xlnm.Print_Area" localSheetId="50">'ADU-15'!$A$1:$E$28</definedName>
    <definedName name="_xlnm.Print_Area" localSheetId="51">'ADU-16'!$A$1:$E$28</definedName>
    <definedName name="_xlnm.Print_Area" localSheetId="52">'ADU-17'!$A$1:$E$28</definedName>
    <definedName name="_xlnm.Print_Area" localSheetId="53">'ADU-18'!$A$1:$E$29</definedName>
    <definedName name="_xlnm.Print_Area" localSheetId="54">'ADU-19'!$A$1:$E$28</definedName>
    <definedName name="_xlnm.Print_Area" localSheetId="25">'ADU-2'!$A$1:$E$28</definedName>
    <definedName name="_xlnm.Print_Area" localSheetId="55">'ADU-20'!$A$1:$E$28</definedName>
    <definedName name="_xlnm.Print_Area" localSheetId="56">'ADU-21'!$A$1:$E$28</definedName>
    <definedName name="_xlnm.Print_Area" localSheetId="57">'ADU-22'!$A$1:$E$28</definedName>
    <definedName name="_xlnm.Print_Area" localSheetId="26">'ADU-221'!$A$1:$E$28</definedName>
    <definedName name="_xlnm.Print_Area" localSheetId="27">'ADU-222'!$A$1:$E$28</definedName>
    <definedName name="_xlnm.Print_Area" localSheetId="28">'ADU-223'!$A$1:$E$28</definedName>
    <definedName name="_xlnm.Print_Area" localSheetId="58">'ADU-23'!$A$1:$E$28</definedName>
    <definedName name="_xlnm.Print_Area" localSheetId="59">'ADU-24'!$A$1:$E$28</definedName>
    <definedName name="_xlnm.Print_Area" localSheetId="60">'ADU-25'!$A$1:$E$28</definedName>
    <definedName name="_xlnm.Print_Area" localSheetId="61">'ADU-26'!$A$1:$E$28</definedName>
    <definedName name="_xlnm.Print_Area" localSheetId="62">'ADU-261'!$A$1:$E$28</definedName>
    <definedName name="_xlnm.Print_Area" localSheetId="63">'ADU-27'!$A$1:$E$28</definedName>
    <definedName name="_xlnm.Print_Area" localSheetId="64">'ADU-28'!$A$1:$E$28</definedName>
    <definedName name="_xlnm.Print_Area" localSheetId="65">'ADU-29'!$A$1:$E$28</definedName>
    <definedName name="_xlnm.Print_Area" localSheetId="29">'ADU-3'!$A$1:$E$28</definedName>
    <definedName name="_xlnm.Print_Area" localSheetId="66">'ADU-30'!$A$1:$E$28</definedName>
    <definedName name="_xlnm.Print_Area" localSheetId="67">'ADU-31'!$A$1:$E$28</definedName>
    <definedName name="_xlnm.Print_Area" localSheetId="68">'ADU-311'!$A$1:$E$28</definedName>
    <definedName name="_xlnm.Print_Area" localSheetId="69">'ADU-32'!$A$1:$E$27</definedName>
    <definedName name="_xlnm.Print_Area" localSheetId="70">'ADU-33'!$A$1:$E$28</definedName>
    <definedName name="_xlnm.Print_Area" localSheetId="74">'ADU-34'!$A$1:$E$28</definedName>
    <definedName name="_xlnm.Print_Area" localSheetId="75">'ADU-341'!$A$1:$E$28</definedName>
    <definedName name="_xlnm.Print_Area" localSheetId="76">'ADU-35'!$A$1:$E$28</definedName>
    <definedName name="_xlnm.Print_Area" localSheetId="78">'ADU-361'!$A$1:$E$28</definedName>
    <definedName name="_xlnm.Print_Area" localSheetId="79">'ADU-362'!$A$1:$E$28</definedName>
    <definedName name="_xlnm.Print_Area" localSheetId="80">'ADU-363'!$A$1:$E$28</definedName>
    <definedName name="_xlnm.Print_Area" localSheetId="81">'ADU-364'!$A$1:$E$28</definedName>
    <definedName name="_xlnm.Print_Area" localSheetId="82">'ADU-365'!$A$1:$E$28</definedName>
    <definedName name="_xlnm.Print_Area" localSheetId="83">'ADU-37'!$A$1:$E$28</definedName>
    <definedName name="_xlnm.Print_Area" localSheetId="85">'ADU-38'!$A$1:$E$28</definedName>
    <definedName name="_xlnm.Print_Area" localSheetId="86">'ADU-381'!$A$1:$E$28</definedName>
    <definedName name="_xlnm.Print_Area" localSheetId="87">'ADU-389'!$A$1:$F$28</definedName>
    <definedName name="_xlnm.Print_Area" localSheetId="88">'ADU-39'!$A$1:$E$28</definedName>
    <definedName name="_xlnm.Print_Area" localSheetId="89">'ADU-40'!$A$1:$E$28</definedName>
    <definedName name="_xlnm.Print_Area" localSheetId="90">'ADU-41'!$A$1:$E$28</definedName>
    <definedName name="_xlnm.Print_Area" localSheetId="91">'ADU-42'!$A$1:$E$28</definedName>
    <definedName name="_xlnm.Print_Area" localSheetId="92">'ADU-43'!$A$1:$E$28</definedName>
    <definedName name="_xlnm.Print_Area" localSheetId="93">'ADU-44'!$A$1:$E$28</definedName>
    <definedName name="_xlnm.Print_Area" localSheetId="30">'ADU-5'!$A$1:$E$28</definedName>
    <definedName name="_xlnm.Print_Area" localSheetId="34">'ADU-6'!$A$1:$E$28</definedName>
    <definedName name="_xlnm.Print_Area" localSheetId="35">'ADU-61'!$A$1:$E$28</definedName>
    <definedName name="_xlnm.Print_Area" localSheetId="37">'ADU-7'!$A$1:$E$28</definedName>
    <definedName name="_xlnm.Print_Area" localSheetId="38">'ADU-8'!$A$1:$E$28</definedName>
    <definedName name="_xlnm.Print_Area" localSheetId="39">'ADU-9'!$A$1:$E$28</definedName>
    <definedName name="_xlnm.Print_Area" localSheetId="0">'Objectifs CO2'!$A$1:$H$36</definedName>
    <definedName name="_xlnm.Print_Area" localSheetId="1">'Objectifs ECO'!$A$1:$H$34</definedName>
    <definedName name="_xlnm.Print_Area" localSheetId="2">'Objectifs PER'!$A$1:$H$33</definedName>
    <definedName name="_xlnm.Print_Area" localSheetId="3">'Synthèse CO2'!$A$1:$BU$89</definedName>
    <definedName name="_xlnm.Print_Area" localSheetId="4">'Synthèse ECO'!$A$1:$X$89</definedName>
    <definedName name="_xlnm.Print_Area" localSheetId="5">'Synthèse PER'!$A$1:$X$89</definedName>
  </definedNames>
  <calcPr calcId="145621"/>
</workbook>
</file>

<file path=xl/calcChain.xml><?xml version="1.0" encoding="utf-8"?>
<calcChain xmlns="http://schemas.openxmlformats.org/spreadsheetml/2006/main">
  <c r="P71" i="10" l="1"/>
  <c r="O71" i="10"/>
  <c r="M71" i="10"/>
  <c r="L71" i="10"/>
  <c r="K71" i="10"/>
  <c r="J71" i="10"/>
  <c r="I71" i="10"/>
  <c r="H71" i="10"/>
  <c r="G71" i="10"/>
  <c r="F71" i="10"/>
  <c r="E71" i="10"/>
  <c r="D71" i="10"/>
  <c r="C71" i="10"/>
  <c r="B71" i="10"/>
  <c r="B72" i="50"/>
  <c r="C72" i="50"/>
  <c r="D72" i="50"/>
  <c r="E72" i="50"/>
  <c r="F72" i="50"/>
  <c r="G72" i="50"/>
  <c r="H72" i="50"/>
  <c r="I72" i="50"/>
  <c r="J72" i="50"/>
  <c r="K72" i="50"/>
  <c r="L72" i="50"/>
  <c r="M72" i="50"/>
  <c r="O72" i="50"/>
  <c r="AC72" i="50" s="1"/>
  <c r="P72" i="50"/>
  <c r="S72" i="50"/>
  <c r="T72" i="50"/>
  <c r="U72" i="50"/>
  <c r="V72" i="50"/>
  <c r="X72" i="50"/>
  <c r="AB72" i="50"/>
  <c r="AG72" i="50"/>
  <c r="AK72" i="50"/>
  <c r="AP72" i="50"/>
  <c r="AT72" i="50"/>
  <c r="AY72" i="50"/>
  <c r="BD72" i="50"/>
  <c r="BH72" i="50"/>
  <c r="BM72" i="50"/>
  <c r="BQ72" i="50"/>
  <c r="B72" i="51"/>
  <c r="C72" i="51"/>
  <c r="D72" i="51"/>
  <c r="V72" i="51" s="1"/>
  <c r="E72" i="51"/>
  <c r="F72" i="51"/>
  <c r="G72" i="51"/>
  <c r="H72" i="51"/>
  <c r="I72" i="51"/>
  <c r="J72" i="51"/>
  <c r="K72" i="51"/>
  <c r="L72" i="51"/>
  <c r="M72" i="51"/>
  <c r="O72" i="51"/>
  <c r="R72" i="51" s="1"/>
  <c r="P72" i="51"/>
  <c r="Q72" i="51"/>
  <c r="U72" i="51"/>
  <c r="B72" i="10"/>
  <c r="C72" i="10"/>
  <c r="D72" i="10"/>
  <c r="E72" i="10"/>
  <c r="F72" i="10"/>
  <c r="G72" i="10"/>
  <c r="H72" i="10"/>
  <c r="I72" i="10"/>
  <c r="J72" i="10"/>
  <c r="K72" i="10"/>
  <c r="L72" i="10"/>
  <c r="M72" i="10"/>
  <c r="N72" i="10"/>
  <c r="O72" i="10"/>
  <c r="Q72" i="10" s="1"/>
  <c r="P72" i="10"/>
  <c r="R72" i="10"/>
  <c r="S72" i="10"/>
  <c r="T72" i="10"/>
  <c r="U72" i="10"/>
  <c r="V72" i="10"/>
  <c r="W72" i="10"/>
  <c r="X72" i="10"/>
  <c r="Z72" i="10"/>
  <c r="AA72" i="10"/>
  <c r="AB72" i="10"/>
  <c r="AC72" i="10"/>
  <c r="AD72" i="10"/>
  <c r="AE72" i="10"/>
  <c r="AF72" i="10"/>
  <c r="AH72" i="10"/>
  <c r="AI72" i="10"/>
  <c r="AJ72" i="10"/>
  <c r="AK72" i="10"/>
  <c r="AL72" i="10"/>
  <c r="AM72" i="10"/>
  <c r="AN72" i="10"/>
  <c r="AP72" i="10"/>
  <c r="AQ72" i="10"/>
  <c r="AR72" i="10"/>
  <c r="AS72" i="10"/>
  <c r="AT72" i="10"/>
  <c r="AU72" i="10"/>
  <c r="AV72" i="10"/>
  <c r="AX72" i="10"/>
  <c r="AY72" i="10"/>
  <c r="AZ72" i="10"/>
  <c r="BA72" i="10"/>
  <c r="BB72" i="10"/>
  <c r="BC72" i="10"/>
  <c r="BD72" i="10"/>
  <c r="BF72" i="10"/>
  <c r="BG72" i="10"/>
  <c r="BH72" i="10"/>
  <c r="BI72" i="10"/>
  <c r="BJ72" i="10"/>
  <c r="BK72" i="10"/>
  <c r="BM72" i="10"/>
  <c r="BN72" i="10"/>
  <c r="BO72" i="10"/>
  <c r="BP72" i="10"/>
  <c r="BQ72" i="10"/>
  <c r="BR72" i="10"/>
  <c r="BT72" i="10"/>
  <c r="BU72" i="10"/>
  <c r="X72" i="51" l="1"/>
  <c r="T72" i="51"/>
  <c r="BP72" i="50"/>
  <c r="BL72" i="50"/>
  <c r="BG72" i="50"/>
  <c r="BB72" i="50"/>
  <c r="AX72" i="50"/>
  <c r="AS72" i="50"/>
  <c r="AO72" i="50"/>
  <c r="AJ72" i="50"/>
  <c r="AE72" i="50"/>
  <c r="AA72" i="50"/>
  <c r="R72" i="50"/>
  <c r="W72" i="50" s="1"/>
  <c r="W72" i="51"/>
  <c r="S72" i="51"/>
  <c r="BO72" i="50"/>
  <c r="BJ72" i="50"/>
  <c r="BF72" i="50"/>
  <c r="BA72" i="50"/>
  <c r="AW72" i="50"/>
  <c r="AR72" i="50"/>
  <c r="AN72" i="50"/>
  <c r="AI72" i="50"/>
  <c r="AD72" i="50"/>
  <c r="Z72" i="50"/>
  <c r="Q72" i="50"/>
  <c r="BR72" i="50"/>
  <c r="BN72" i="50"/>
  <c r="BI72" i="50"/>
  <c r="BE72" i="50"/>
  <c r="AZ72" i="50"/>
  <c r="AV72" i="50"/>
  <c r="AQ72" i="50"/>
  <c r="AL72" i="50"/>
  <c r="AH72" i="50"/>
  <c r="E40" i="109"/>
  <c r="I21" i="109"/>
  <c r="I22" i="109" s="1"/>
  <c r="I23" i="109" s="1"/>
  <c r="I24" i="109" s="1"/>
  <c r="K19" i="109"/>
  <c r="K18" i="109"/>
  <c r="B16" i="109"/>
  <c r="O10" i="109"/>
  <c r="B24" i="23"/>
  <c r="B20" i="23"/>
  <c r="B18" i="23"/>
  <c r="B24" i="109" l="1"/>
  <c r="B18" i="109"/>
  <c r="I18" i="109" l="1"/>
  <c r="I19" i="109"/>
  <c r="B25" i="109"/>
  <c r="B26" i="109"/>
  <c r="B20" i="109" l="1"/>
  <c r="B23" i="109" l="1"/>
  <c r="B22" i="109"/>
  <c r="B20" i="22" l="1"/>
  <c r="B21" i="79"/>
  <c r="AK48" i="2" l="1"/>
  <c r="AK49" i="2"/>
  <c r="AK50" i="2"/>
  <c r="AK51" i="2"/>
  <c r="AK52" i="2"/>
  <c r="AK53" i="2"/>
  <c r="V48" i="2"/>
  <c r="V53" i="2"/>
  <c r="V52" i="2"/>
  <c r="D16" i="2" l="1"/>
  <c r="P32" i="50"/>
  <c r="P32" i="51"/>
  <c r="P32" i="10"/>
  <c r="P31" i="50"/>
  <c r="P31" i="51"/>
  <c r="P31" i="10"/>
  <c r="P30" i="50"/>
  <c r="P30" i="51"/>
  <c r="P30" i="10"/>
  <c r="O32" i="50"/>
  <c r="O32" i="51"/>
  <c r="R32" i="51" s="1"/>
  <c r="O32" i="10"/>
  <c r="O31" i="50"/>
  <c r="O31" i="51"/>
  <c r="O31" i="10"/>
  <c r="Q31" i="10" s="1"/>
  <c r="O30" i="50"/>
  <c r="O30" i="51"/>
  <c r="O30" i="10"/>
  <c r="M32" i="50"/>
  <c r="M32" i="51"/>
  <c r="M32" i="10"/>
  <c r="M31" i="50"/>
  <c r="M31" i="51"/>
  <c r="M31" i="10"/>
  <c r="M30" i="50"/>
  <c r="M30" i="51"/>
  <c r="M30" i="10"/>
  <c r="Q30" i="10" s="1"/>
  <c r="L32" i="50"/>
  <c r="L32" i="51"/>
  <c r="L32" i="10"/>
  <c r="L31" i="50"/>
  <c r="L31" i="51"/>
  <c r="L31" i="10"/>
  <c r="L30" i="50"/>
  <c r="L30" i="51"/>
  <c r="L30" i="10"/>
  <c r="K32" i="50"/>
  <c r="K32" i="51"/>
  <c r="K32" i="10"/>
  <c r="K31" i="50"/>
  <c r="K31" i="51"/>
  <c r="K31" i="10"/>
  <c r="K30" i="50"/>
  <c r="K30" i="51"/>
  <c r="K30" i="10"/>
  <c r="J32" i="50"/>
  <c r="J32" i="51"/>
  <c r="J32" i="10"/>
  <c r="J31" i="50"/>
  <c r="J31" i="51"/>
  <c r="J31" i="10"/>
  <c r="J30" i="50"/>
  <c r="J30" i="51"/>
  <c r="J30" i="10"/>
  <c r="I32" i="50"/>
  <c r="I32" i="51"/>
  <c r="I32" i="10"/>
  <c r="I31" i="50"/>
  <c r="I31" i="51"/>
  <c r="I31" i="10"/>
  <c r="I30" i="50"/>
  <c r="I30" i="51"/>
  <c r="I30" i="10"/>
  <c r="H32" i="50"/>
  <c r="H32" i="51"/>
  <c r="H32" i="10"/>
  <c r="H31" i="50"/>
  <c r="H31" i="51"/>
  <c r="H31" i="10"/>
  <c r="H30" i="50"/>
  <c r="H30" i="51"/>
  <c r="H30" i="10"/>
  <c r="G32" i="50"/>
  <c r="G32" i="51"/>
  <c r="G32" i="10"/>
  <c r="G31" i="50"/>
  <c r="G31" i="51"/>
  <c r="G31" i="10"/>
  <c r="G30" i="50"/>
  <c r="G30" i="51"/>
  <c r="G30" i="10"/>
  <c r="F32" i="50"/>
  <c r="F32" i="51"/>
  <c r="F32" i="10"/>
  <c r="F31" i="50"/>
  <c r="F31" i="51"/>
  <c r="F31" i="10"/>
  <c r="F30" i="50"/>
  <c r="F30" i="51"/>
  <c r="F30" i="10"/>
  <c r="E32" i="50"/>
  <c r="AB32" i="50" s="1"/>
  <c r="E32" i="51"/>
  <c r="E32" i="10"/>
  <c r="BP32" i="10" s="1"/>
  <c r="E31" i="50"/>
  <c r="E31" i="51"/>
  <c r="E31" i="10"/>
  <c r="E30" i="50"/>
  <c r="E30" i="51"/>
  <c r="E30" i="10"/>
  <c r="BH30" i="10" s="1"/>
  <c r="D32" i="50"/>
  <c r="AW32" i="50" s="1"/>
  <c r="D32" i="51"/>
  <c r="W32" i="51" s="1"/>
  <c r="D32" i="10"/>
  <c r="D31" i="50"/>
  <c r="S31" i="50" s="1"/>
  <c r="D31" i="51"/>
  <c r="D31" i="10"/>
  <c r="AC31" i="10" s="1"/>
  <c r="D30" i="50"/>
  <c r="U30" i="50" s="1"/>
  <c r="D30" i="51"/>
  <c r="W30" i="51" s="1"/>
  <c r="D30" i="10"/>
  <c r="C32" i="50"/>
  <c r="C32" i="51"/>
  <c r="C32" i="10"/>
  <c r="C31" i="50"/>
  <c r="C31" i="51"/>
  <c r="C31" i="10"/>
  <c r="C30" i="50"/>
  <c r="C30" i="51"/>
  <c r="C30" i="10"/>
  <c r="B32" i="50"/>
  <c r="B32" i="51"/>
  <c r="B32" i="10"/>
  <c r="B31" i="50"/>
  <c r="B31" i="51"/>
  <c r="B31" i="10"/>
  <c r="B30" i="50"/>
  <c r="B30" i="51"/>
  <c r="B30" i="10"/>
  <c r="T30" i="50"/>
  <c r="S30" i="50"/>
  <c r="W30" i="50"/>
  <c r="AN30" i="50"/>
  <c r="AW30" i="50"/>
  <c r="BF30" i="50"/>
  <c r="BO30" i="50"/>
  <c r="W31" i="50"/>
  <c r="AI31" i="50"/>
  <c r="AY31" i="50"/>
  <c r="BH31" i="50"/>
  <c r="AG32" i="50"/>
  <c r="S32" i="50"/>
  <c r="U32" i="50"/>
  <c r="AD32" i="50"/>
  <c r="AN32" i="50"/>
  <c r="AT32" i="50"/>
  <c r="BD32" i="50"/>
  <c r="BM32" i="50"/>
  <c r="S31" i="51"/>
  <c r="U31" i="51"/>
  <c r="S32" i="51"/>
  <c r="Q32" i="51"/>
  <c r="N30" i="10"/>
  <c r="R30" i="10"/>
  <c r="X30" i="10"/>
  <c r="AA30" i="10"/>
  <c r="AE30" i="10"/>
  <c r="AJ30" i="10"/>
  <c r="AN30" i="10"/>
  <c r="AQ30" i="10"/>
  <c r="AX30" i="10"/>
  <c r="AZ30" i="10"/>
  <c r="BG30" i="10"/>
  <c r="BJ30" i="10"/>
  <c r="BO30" i="10"/>
  <c r="BT30" i="10"/>
  <c r="BU30" i="10"/>
  <c r="S31" i="10"/>
  <c r="W31" i="10"/>
  <c r="AU31" i="10"/>
  <c r="BN31" i="10"/>
  <c r="T32" i="10"/>
  <c r="S32" i="10"/>
  <c r="V32" i="10"/>
  <c r="W32" i="10"/>
  <c r="AB32" i="10"/>
  <c r="AC32" i="10"/>
  <c r="AE32" i="10"/>
  <c r="AJ32" i="10"/>
  <c r="AK32" i="10"/>
  <c r="AN32" i="10"/>
  <c r="AQ32" i="10"/>
  <c r="AT32" i="10"/>
  <c r="AU32" i="10"/>
  <c r="AZ32" i="10"/>
  <c r="BB32" i="10"/>
  <c r="BC32" i="10"/>
  <c r="BH32" i="10"/>
  <c r="BM32" i="10"/>
  <c r="BQ32" i="10"/>
  <c r="B17" i="108"/>
  <c r="B20" i="108"/>
  <c r="B24" i="108"/>
  <c r="B18" i="108"/>
  <c r="B20" i="107"/>
  <c r="B24" i="107"/>
  <c r="B18" i="107"/>
  <c r="BB30" i="10" l="1"/>
  <c r="Z31" i="50"/>
  <c r="N32" i="10"/>
  <c r="BR32" i="10"/>
  <c r="BI32" i="10"/>
  <c r="BI31" i="10"/>
  <c r="BJ31" i="10"/>
  <c r="BP30" i="10"/>
  <c r="BI30" i="10"/>
  <c r="S30" i="51"/>
  <c r="BA31" i="50"/>
  <c r="AG31" i="50"/>
  <c r="BO31" i="10"/>
  <c r="BD30" i="50"/>
  <c r="R32" i="10"/>
  <c r="BT31" i="10"/>
  <c r="AP31" i="10"/>
  <c r="BN30" i="10"/>
  <c r="BQ31" i="50"/>
  <c r="AP31" i="50"/>
  <c r="Q30" i="51"/>
  <c r="V30" i="10"/>
  <c r="AK32" i="50"/>
  <c r="BU32" i="10"/>
  <c r="BN32" i="10"/>
  <c r="BG32" i="10"/>
  <c r="AX32" i="10"/>
  <c r="AP32" i="10"/>
  <c r="AH32" i="10"/>
  <c r="X32" i="10"/>
  <c r="BF32" i="50"/>
  <c r="BK32" i="10"/>
  <c r="BH31" i="10"/>
  <c r="BJ31" i="50"/>
  <c r="AR31" i="50"/>
  <c r="AD31" i="50"/>
  <c r="Q31" i="50"/>
  <c r="BR30" i="10"/>
  <c r="BK30" i="10"/>
  <c r="BF30" i="10"/>
  <c r="AS30" i="10"/>
  <c r="AH30" i="10"/>
  <c r="AK30" i="50"/>
  <c r="R31" i="51"/>
  <c r="X31" i="51" s="1"/>
  <c r="R30" i="51"/>
  <c r="AB30" i="50"/>
  <c r="BO32" i="50"/>
  <c r="AI31" i="10"/>
  <c r="BA31" i="10"/>
  <c r="BM30" i="50"/>
  <c r="AT30" i="50"/>
  <c r="BR31" i="10"/>
  <c r="BM31" i="10"/>
  <c r="BF31" i="10"/>
  <c r="AZ31" i="10"/>
  <c r="AT31" i="10"/>
  <c r="AM31" i="10"/>
  <c r="AH31" i="10"/>
  <c r="AB31" i="10"/>
  <c r="U31" i="10"/>
  <c r="N31" i="10"/>
  <c r="S30" i="10"/>
  <c r="W30" i="10"/>
  <c r="AB30" i="10"/>
  <c r="AF30" i="10"/>
  <c r="AK30" i="10"/>
  <c r="AP30" i="10"/>
  <c r="AT30" i="10"/>
  <c r="AY30" i="10"/>
  <c r="BC30" i="10"/>
  <c r="U30" i="10"/>
  <c r="Z30" i="10"/>
  <c r="AD30" i="10"/>
  <c r="AI30" i="10"/>
  <c r="AM30" i="10"/>
  <c r="AR30" i="10"/>
  <c r="AV30" i="10"/>
  <c r="BA30" i="10"/>
  <c r="U32" i="51"/>
  <c r="Q31" i="51"/>
  <c r="T31" i="51"/>
  <c r="V31" i="51"/>
  <c r="U30" i="51"/>
  <c r="BJ32" i="50"/>
  <c r="BA32" i="50"/>
  <c r="AR32" i="50"/>
  <c r="AI32" i="50"/>
  <c r="Z32" i="50"/>
  <c r="Q32" i="50"/>
  <c r="T32" i="50"/>
  <c r="BO31" i="50"/>
  <c r="BF31" i="50"/>
  <c r="AW31" i="50"/>
  <c r="AN31" i="50"/>
  <c r="U31" i="50"/>
  <c r="R31" i="50"/>
  <c r="AA31" i="50"/>
  <c r="AE31" i="50"/>
  <c r="AJ31" i="50"/>
  <c r="AO31" i="50"/>
  <c r="AS31" i="50"/>
  <c r="AX31" i="50"/>
  <c r="BB31" i="50"/>
  <c r="BG31" i="50"/>
  <c r="BL31" i="50"/>
  <c r="BP31" i="50"/>
  <c r="AC31" i="50"/>
  <c r="AH31" i="50"/>
  <c r="AL31" i="50"/>
  <c r="AQ31" i="50"/>
  <c r="AV31" i="50"/>
  <c r="AZ31" i="50"/>
  <c r="BE31" i="50"/>
  <c r="BI31" i="50"/>
  <c r="BN31" i="50"/>
  <c r="BR31" i="50"/>
  <c r="BJ30" i="50"/>
  <c r="BA30" i="50"/>
  <c r="AR30" i="50"/>
  <c r="AG30" i="50"/>
  <c r="BD32" i="10"/>
  <c r="AY32" i="10"/>
  <c r="AS32" i="10"/>
  <c r="AL32" i="10"/>
  <c r="AF32" i="10"/>
  <c r="AA32" i="10"/>
  <c r="Q32" i="10"/>
  <c r="U32" i="10"/>
  <c r="Z32" i="10"/>
  <c r="AD32" i="10"/>
  <c r="AI32" i="10"/>
  <c r="AM32" i="10"/>
  <c r="AR32" i="10"/>
  <c r="AV32" i="10"/>
  <c r="BA32" i="10"/>
  <c r="BF32" i="10"/>
  <c r="BJ32" i="10"/>
  <c r="BO32" i="10"/>
  <c r="BT32" i="10"/>
  <c r="BQ31" i="10"/>
  <c r="BD31" i="10"/>
  <c r="AY31" i="10"/>
  <c r="AR31" i="10"/>
  <c r="AL31" i="10"/>
  <c r="AF31" i="10"/>
  <c r="Z31" i="10"/>
  <c r="T31" i="10"/>
  <c r="R31" i="10"/>
  <c r="V31" i="10"/>
  <c r="AA31" i="10"/>
  <c r="AE31" i="10"/>
  <c r="AJ31" i="10"/>
  <c r="AN31" i="10"/>
  <c r="AS31" i="10"/>
  <c r="AX31" i="10"/>
  <c r="BB31" i="10"/>
  <c r="BG31" i="10"/>
  <c r="BK31" i="10"/>
  <c r="BP31" i="10"/>
  <c r="BU31" i="10"/>
  <c r="BD30" i="10"/>
  <c r="AU30" i="10"/>
  <c r="AL30" i="10"/>
  <c r="AC30" i="10"/>
  <c r="T30" i="10"/>
  <c r="W31" i="51"/>
  <c r="BQ32" i="50"/>
  <c r="BH32" i="50"/>
  <c r="AY32" i="50"/>
  <c r="AP32" i="50"/>
  <c r="W32" i="50"/>
  <c r="BM31" i="50"/>
  <c r="BD31" i="50"/>
  <c r="AT31" i="50"/>
  <c r="AK31" i="50"/>
  <c r="AB31" i="50"/>
  <c r="BQ30" i="50"/>
  <c r="BH30" i="50"/>
  <c r="AY30" i="50"/>
  <c r="AP30" i="50"/>
  <c r="BC31" i="10"/>
  <c r="AV31" i="10"/>
  <c r="AQ31" i="10"/>
  <c r="AK31" i="10"/>
  <c r="AD31" i="10"/>
  <c r="X31" i="10"/>
  <c r="V32" i="51"/>
  <c r="T32" i="51"/>
  <c r="X32" i="51"/>
  <c r="V30" i="51"/>
  <c r="T30" i="51"/>
  <c r="X30" i="51"/>
  <c r="AC32" i="50"/>
  <c r="AH32" i="50"/>
  <c r="AL32" i="50"/>
  <c r="AQ32" i="50"/>
  <c r="AV32" i="50"/>
  <c r="AZ32" i="50"/>
  <c r="BE32" i="50"/>
  <c r="BI32" i="50"/>
  <c r="BN32" i="50"/>
  <c r="BR32" i="50"/>
  <c r="R32" i="50"/>
  <c r="X32" i="50" s="1"/>
  <c r="AA32" i="50"/>
  <c r="AE32" i="50"/>
  <c r="AJ32" i="50"/>
  <c r="AO32" i="50"/>
  <c r="AS32" i="50"/>
  <c r="AX32" i="50"/>
  <c r="BB32" i="50"/>
  <c r="BG32" i="50"/>
  <c r="BL32" i="50"/>
  <c r="BP32" i="50"/>
  <c r="V31" i="50"/>
  <c r="T31" i="50"/>
  <c r="X31" i="50"/>
  <c r="AC30" i="50"/>
  <c r="AH30" i="50"/>
  <c r="AL30" i="50"/>
  <c r="AQ30" i="50"/>
  <c r="AV30" i="50"/>
  <c r="AZ30" i="50"/>
  <c r="BE30" i="50"/>
  <c r="BI30" i="50"/>
  <c r="BN30" i="50"/>
  <c r="BR30" i="50"/>
  <c r="Q30" i="50"/>
  <c r="Z30" i="50"/>
  <c r="AD30" i="50"/>
  <c r="AI30" i="50"/>
  <c r="R30" i="50"/>
  <c r="V30" i="50" s="1"/>
  <c r="AA30" i="50"/>
  <c r="AE30" i="50"/>
  <c r="AJ30" i="50"/>
  <c r="AO30" i="50"/>
  <c r="AS30" i="50"/>
  <c r="AX30" i="50"/>
  <c r="BB30" i="50"/>
  <c r="BG30" i="50"/>
  <c r="BL30" i="50"/>
  <c r="BP30" i="50"/>
  <c r="BQ30" i="10"/>
  <c r="BM30" i="10"/>
  <c r="X30" i="50"/>
  <c r="B23" i="108"/>
  <c r="B22" i="108"/>
  <c r="B23" i="107"/>
  <c r="B20" i="106"/>
  <c r="B23" i="106" s="1"/>
  <c r="B18" i="106"/>
  <c r="B24" i="106" s="1"/>
  <c r="V32" i="50" l="1"/>
  <c r="B22" i="107"/>
  <c r="B22" i="106"/>
  <c r="P83" i="50"/>
  <c r="P83" i="51"/>
  <c r="P83" i="10"/>
  <c r="O83" i="50"/>
  <c r="O83" i="51"/>
  <c r="Q83" i="51" s="1"/>
  <c r="O83" i="10"/>
  <c r="K83" i="50"/>
  <c r="K83" i="51"/>
  <c r="K83" i="10"/>
  <c r="J83" i="50"/>
  <c r="J83" i="51"/>
  <c r="J83" i="10"/>
  <c r="I83" i="50"/>
  <c r="I83" i="10"/>
  <c r="H83" i="50"/>
  <c r="H83" i="51"/>
  <c r="H83" i="10"/>
  <c r="G83" i="50"/>
  <c r="G83" i="10"/>
  <c r="F83" i="50"/>
  <c r="F83" i="51"/>
  <c r="F83" i="10"/>
  <c r="E83" i="50"/>
  <c r="E83" i="51"/>
  <c r="E83" i="10"/>
  <c r="D83" i="50"/>
  <c r="U83" i="50" s="1"/>
  <c r="D83" i="51"/>
  <c r="U83" i="51" s="1"/>
  <c r="D83" i="10"/>
  <c r="C83" i="50"/>
  <c r="C83" i="51"/>
  <c r="C83" i="10"/>
  <c r="B83" i="50"/>
  <c r="B83" i="51"/>
  <c r="B83" i="10"/>
  <c r="X83" i="51"/>
  <c r="I14" i="105"/>
  <c r="B20" i="105" s="1"/>
  <c r="B19" i="105"/>
  <c r="B18" i="105"/>
  <c r="B16" i="105"/>
  <c r="G76" i="51" s="1"/>
  <c r="P76" i="50"/>
  <c r="P76" i="51"/>
  <c r="P76" i="10"/>
  <c r="O76" i="50"/>
  <c r="Q76" i="50" s="1"/>
  <c r="O76" i="51"/>
  <c r="R76" i="51" s="1"/>
  <c r="O76" i="10"/>
  <c r="BT76" i="10" s="1"/>
  <c r="K76" i="50"/>
  <c r="K76" i="51"/>
  <c r="K76" i="10"/>
  <c r="I76" i="50"/>
  <c r="I76" i="51"/>
  <c r="I76" i="10"/>
  <c r="H76" i="50"/>
  <c r="H76" i="51"/>
  <c r="H76" i="10"/>
  <c r="F76" i="50"/>
  <c r="F76" i="51"/>
  <c r="F76" i="10"/>
  <c r="E76" i="50"/>
  <c r="E76" i="51"/>
  <c r="E76" i="10"/>
  <c r="D76" i="50"/>
  <c r="U76" i="50" s="1"/>
  <c r="D76" i="51"/>
  <c r="X76" i="51" s="1"/>
  <c r="D76" i="10"/>
  <c r="AR76" i="10" s="1"/>
  <c r="C76" i="50"/>
  <c r="C76" i="51"/>
  <c r="C76" i="10"/>
  <c r="B76" i="50"/>
  <c r="B76" i="51"/>
  <c r="B76" i="10"/>
  <c r="P71" i="50"/>
  <c r="P71" i="51"/>
  <c r="P70" i="50"/>
  <c r="P70" i="51"/>
  <c r="P70" i="10"/>
  <c r="O71" i="50"/>
  <c r="O71" i="51"/>
  <c r="Q71" i="51" s="1"/>
  <c r="O70" i="50"/>
  <c r="O70" i="51"/>
  <c r="O70" i="10"/>
  <c r="M70" i="50"/>
  <c r="M70" i="51"/>
  <c r="M70" i="10"/>
  <c r="L70" i="50"/>
  <c r="L70" i="51"/>
  <c r="L70" i="10"/>
  <c r="K71" i="50"/>
  <c r="K71" i="51"/>
  <c r="K70" i="50"/>
  <c r="K70" i="51"/>
  <c r="K70" i="10"/>
  <c r="J70" i="50"/>
  <c r="J70" i="51"/>
  <c r="J70" i="10"/>
  <c r="I71" i="50"/>
  <c r="I71" i="51"/>
  <c r="I70" i="50"/>
  <c r="I70" i="51"/>
  <c r="I70" i="10"/>
  <c r="H71" i="50"/>
  <c r="H71" i="51"/>
  <c r="H70" i="50"/>
  <c r="H70" i="51"/>
  <c r="H70" i="10"/>
  <c r="G70" i="50"/>
  <c r="G70" i="51"/>
  <c r="G70" i="10"/>
  <c r="F71" i="50"/>
  <c r="F71" i="51"/>
  <c r="F70" i="50"/>
  <c r="F70" i="51"/>
  <c r="F70" i="10"/>
  <c r="E71" i="50"/>
  <c r="AC71" i="50" s="1"/>
  <c r="E71" i="51"/>
  <c r="E70" i="50"/>
  <c r="E70" i="51"/>
  <c r="E70" i="10"/>
  <c r="D71" i="50"/>
  <c r="V71" i="50" s="1"/>
  <c r="D71" i="51"/>
  <c r="T71" i="51" s="1"/>
  <c r="D70" i="50"/>
  <c r="V70" i="50" s="1"/>
  <c r="D70" i="51"/>
  <c r="S70" i="51" s="1"/>
  <c r="D70" i="10"/>
  <c r="C71" i="50"/>
  <c r="C71" i="51"/>
  <c r="C70" i="50"/>
  <c r="C70" i="51"/>
  <c r="C70" i="10"/>
  <c r="B71" i="50"/>
  <c r="B71" i="51"/>
  <c r="B70" i="50"/>
  <c r="B70" i="51"/>
  <c r="B70" i="10"/>
  <c r="AS71" i="10"/>
  <c r="P35" i="50"/>
  <c r="P35" i="51"/>
  <c r="P35" i="10"/>
  <c r="O35" i="50"/>
  <c r="O35" i="51"/>
  <c r="O35" i="10"/>
  <c r="K35" i="50"/>
  <c r="K35" i="51"/>
  <c r="K35" i="10"/>
  <c r="H35" i="50"/>
  <c r="H35" i="51"/>
  <c r="H35" i="10"/>
  <c r="F35" i="50"/>
  <c r="F35" i="51"/>
  <c r="F35" i="10"/>
  <c r="E35" i="50"/>
  <c r="E35" i="51"/>
  <c r="E35" i="10"/>
  <c r="BM35" i="10" s="1"/>
  <c r="D35" i="50"/>
  <c r="T35" i="50" s="1"/>
  <c r="D35" i="51"/>
  <c r="S35" i="51" s="1"/>
  <c r="D35" i="10"/>
  <c r="C35" i="50"/>
  <c r="C35" i="51"/>
  <c r="C35" i="10"/>
  <c r="B35" i="50"/>
  <c r="B35" i="51"/>
  <c r="B35" i="10"/>
  <c r="AB35" i="50"/>
  <c r="P18" i="50"/>
  <c r="P18" i="51"/>
  <c r="P18" i="10"/>
  <c r="P17" i="50"/>
  <c r="P17" i="51"/>
  <c r="P17" i="10"/>
  <c r="O18" i="50"/>
  <c r="O18" i="51"/>
  <c r="Q18" i="51" s="1"/>
  <c r="O18" i="10"/>
  <c r="O17" i="50"/>
  <c r="Q17" i="50" s="1"/>
  <c r="O17" i="51"/>
  <c r="R17" i="51" s="1"/>
  <c r="O17" i="10"/>
  <c r="M18" i="50"/>
  <c r="M18" i="51"/>
  <c r="M18" i="10"/>
  <c r="M17" i="50"/>
  <c r="M17" i="51"/>
  <c r="M17" i="10"/>
  <c r="L18" i="50"/>
  <c r="L18" i="51"/>
  <c r="L18" i="10"/>
  <c r="L17" i="50"/>
  <c r="L17" i="51"/>
  <c r="L17" i="10"/>
  <c r="K18" i="50"/>
  <c r="K18" i="51"/>
  <c r="K18" i="10"/>
  <c r="K17" i="50"/>
  <c r="K17" i="51"/>
  <c r="K17" i="10"/>
  <c r="J18" i="50"/>
  <c r="J18" i="51"/>
  <c r="J18" i="10"/>
  <c r="J17" i="50"/>
  <c r="J17" i="51"/>
  <c r="J17" i="10"/>
  <c r="I18" i="50"/>
  <c r="I18" i="51"/>
  <c r="I18" i="10"/>
  <c r="I17" i="50"/>
  <c r="I17" i="51"/>
  <c r="I17" i="10"/>
  <c r="H18" i="50"/>
  <c r="H18" i="51"/>
  <c r="H18" i="10"/>
  <c r="H17" i="50"/>
  <c r="H17" i="51"/>
  <c r="H17" i="10"/>
  <c r="G18" i="50"/>
  <c r="G18" i="51"/>
  <c r="G18" i="10"/>
  <c r="G17" i="50"/>
  <c r="G17" i="51"/>
  <c r="G17" i="10"/>
  <c r="F18" i="50"/>
  <c r="F18" i="51"/>
  <c r="F18" i="10"/>
  <c r="F17" i="50"/>
  <c r="F17" i="51"/>
  <c r="F17" i="10"/>
  <c r="E18" i="50"/>
  <c r="E18" i="51"/>
  <c r="E18" i="10"/>
  <c r="E17" i="50"/>
  <c r="E17" i="51"/>
  <c r="E17" i="10"/>
  <c r="D18" i="50"/>
  <c r="U18" i="50" s="1"/>
  <c r="D18" i="51"/>
  <c r="W18" i="51" s="1"/>
  <c r="D18" i="10"/>
  <c r="AN18" i="10" s="1"/>
  <c r="D17" i="50"/>
  <c r="U17" i="50" s="1"/>
  <c r="D17" i="51"/>
  <c r="U17" i="51" s="1"/>
  <c r="D17" i="10"/>
  <c r="W17" i="10" s="1"/>
  <c r="C18" i="50"/>
  <c r="C18" i="51"/>
  <c r="C18" i="10"/>
  <c r="C17" i="50"/>
  <c r="C17" i="51"/>
  <c r="C17" i="10"/>
  <c r="B18" i="50"/>
  <c r="B18" i="51"/>
  <c r="B18" i="10"/>
  <c r="B17" i="50"/>
  <c r="B17" i="51"/>
  <c r="B17" i="10"/>
  <c r="V18" i="50"/>
  <c r="T18" i="50"/>
  <c r="AL18" i="50"/>
  <c r="BM18" i="50"/>
  <c r="N18" i="10"/>
  <c r="Y92" i="50"/>
  <c r="AF92" i="50"/>
  <c r="AM92" i="50"/>
  <c r="AU92" i="50"/>
  <c r="BC92" i="50"/>
  <c r="BK92" i="50"/>
  <c r="AK90" i="50"/>
  <c r="AD90" i="50"/>
  <c r="BR90" i="50"/>
  <c r="BQ90" i="50"/>
  <c r="BP90" i="50"/>
  <c r="BO90" i="50"/>
  <c r="BN90" i="50"/>
  <c r="BM90" i="50"/>
  <c r="BL90" i="50"/>
  <c r="BJ90" i="50"/>
  <c r="BI90" i="50"/>
  <c r="BH90" i="50"/>
  <c r="BG90" i="50"/>
  <c r="BF90" i="50"/>
  <c r="BE90" i="50"/>
  <c r="BD90" i="50"/>
  <c r="BB90" i="50"/>
  <c r="BA90" i="50"/>
  <c r="AZ90" i="50"/>
  <c r="AY90" i="50"/>
  <c r="AX90" i="50"/>
  <c r="AW90" i="50"/>
  <c r="AV90" i="50"/>
  <c r="AT90" i="50"/>
  <c r="AS90" i="50"/>
  <c r="AR90" i="50"/>
  <c r="AQ90" i="50"/>
  <c r="AP90" i="50"/>
  <c r="AO90" i="50"/>
  <c r="AN90" i="50"/>
  <c r="AL90" i="50"/>
  <c r="AJ90" i="50"/>
  <c r="AI90" i="50"/>
  <c r="AH90" i="50"/>
  <c r="AG90" i="50"/>
  <c r="AE90" i="50"/>
  <c r="AC90" i="50"/>
  <c r="AB90" i="50"/>
  <c r="AA90" i="50"/>
  <c r="Z90" i="50"/>
  <c r="Q119" i="51"/>
  <c r="Q118" i="51"/>
  <c r="Q117" i="51"/>
  <c r="Q116" i="51"/>
  <c r="Q115" i="51"/>
  <c r="Q114" i="51"/>
  <c r="Q113" i="51"/>
  <c r="Q112" i="51"/>
  <c r="Q111" i="51"/>
  <c r="Q110" i="51"/>
  <c r="Q109" i="51"/>
  <c r="Q108" i="51"/>
  <c r="Q107" i="51"/>
  <c r="Q106" i="51"/>
  <c r="Q105" i="51"/>
  <c r="Q104" i="51"/>
  <c r="Q103" i="51"/>
  <c r="Q102" i="51"/>
  <c r="Q101" i="51"/>
  <c r="Q100" i="51"/>
  <c r="Q99" i="51"/>
  <c r="Q98" i="51"/>
  <c r="Q97" i="51"/>
  <c r="Q96" i="51"/>
  <c r="Q95" i="51"/>
  <c r="Q94" i="51"/>
  <c r="Q93" i="51"/>
  <c r="Q92" i="51"/>
  <c r="Q91" i="51"/>
  <c r="Q90" i="51"/>
  <c r="Q90" i="50"/>
  <c r="E40" i="105"/>
  <c r="E40" i="104"/>
  <c r="B24" i="104"/>
  <c r="B23" i="104"/>
  <c r="B22" i="104"/>
  <c r="M7" i="104"/>
  <c r="M6" i="104"/>
  <c r="E40" i="103"/>
  <c r="B24" i="103"/>
  <c r="B23" i="103"/>
  <c r="B22" i="103"/>
  <c r="M7" i="103"/>
  <c r="M6" i="103"/>
  <c r="E40" i="102"/>
  <c r="B22" i="102"/>
  <c r="B16" i="102"/>
  <c r="B17" i="102" s="1"/>
  <c r="I83" i="51" s="1"/>
  <c r="I13" i="102"/>
  <c r="J13" i="102" s="1"/>
  <c r="I10" i="102"/>
  <c r="J10" i="102" s="1"/>
  <c r="B19" i="102" s="1"/>
  <c r="B24" i="101"/>
  <c r="M35" i="50" s="1"/>
  <c r="B18" i="101"/>
  <c r="B16" i="101" s="1"/>
  <c r="G35" i="50" s="1"/>
  <c r="N10" i="101"/>
  <c r="M10" i="101"/>
  <c r="L10" i="101"/>
  <c r="K10" i="101"/>
  <c r="J10" i="101"/>
  <c r="I10" i="101"/>
  <c r="G10" i="101"/>
  <c r="B24" i="102" l="1"/>
  <c r="G83" i="51"/>
  <c r="BQ35" i="10"/>
  <c r="R18" i="10"/>
  <c r="BL70" i="50"/>
  <c r="R17" i="10"/>
  <c r="AG18" i="50"/>
  <c r="Q17" i="51"/>
  <c r="Q17" i="10"/>
  <c r="AE35" i="50"/>
  <c r="AX76" i="50"/>
  <c r="V17" i="51"/>
  <c r="BE18" i="50"/>
  <c r="S18" i="50"/>
  <c r="BG71" i="10"/>
  <c r="T76" i="50"/>
  <c r="V18" i="10"/>
  <c r="T70" i="10"/>
  <c r="Q120" i="51"/>
  <c r="Q18" i="10"/>
  <c r="S17" i="51"/>
  <c r="BM76" i="50"/>
  <c r="AA18" i="10"/>
  <c r="BP71" i="10"/>
  <c r="R70" i="51"/>
  <c r="W70" i="51" s="1"/>
  <c r="AG71" i="50"/>
  <c r="Z76" i="10"/>
  <c r="AT76" i="50"/>
  <c r="BD83" i="50"/>
  <c r="BF17" i="50"/>
  <c r="Q71" i="10"/>
  <c r="BK18" i="10"/>
  <c r="W35" i="50"/>
  <c r="BP76" i="50"/>
  <c r="V76" i="50"/>
  <c r="AI76" i="10"/>
  <c r="AE17" i="50"/>
  <c r="AN17" i="50"/>
  <c r="BH71" i="50"/>
  <c r="S76" i="51"/>
  <c r="AT18" i="50"/>
  <c r="AZ35" i="50"/>
  <c r="AV35" i="10"/>
  <c r="AA71" i="10"/>
  <c r="AQ71" i="50"/>
  <c r="W83" i="10"/>
  <c r="V18" i="51"/>
  <c r="R17" i="50"/>
  <c r="Q71" i="50"/>
  <c r="AC70" i="50"/>
  <c r="T76" i="51"/>
  <c r="BR35" i="50"/>
  <c r="V35" i="50"/>
  <c r="BE71" i="50"/>
  <c r="AP71" i="50"/>
  <c r="X71" i="50"/>
  <c r="AX83" i="10"/>
  <c r="BQ18" i="50"/>
  <c r="AY18" i="50"/>
  <c r="AC18" i="50"/>
  <c r="Q18" i="50"/>
  <c r="BL35" i="50"/>
  <c r="AN35" i="50"/>
  <c r="S35" i="50"/>
  <c r="BQ71" i="50"/>
  <c r="AZ71" i="50"/>
  <c r="AK71" i="50"/>
  <c r="U71" i="50"/>
  <c r="U70" i="50"/>
  <c r="AH71" i="50"/>
  <c r="BG76" i="50"/>
  <c r="AO76" i="50"/>
  <c r="R76" i="50"/>
  <c r="W76" i="50" s="1"/>
  <c r="AC76" i="50"/>
  <c r="AP83" i="10"/>
  <c r="Q83" i="10"/>
  <c r="W83" i="50"/>
  <c r="U83" i="10"/>
  <c r="AC83" i="50"/>
  <c r="AS35" i="50"/>
  <c r="BR71" i="50"/>
  <c r="S83" i="10"/>
  <c r="AP83" i="50"/>
  <c r="U18" i="51"/>
  <c r="BN18" i="50"/>
  <c r="AV18" i="50"/>
  <c r="W18" i="50"/>
  <c r="AH18" i="50"/>
  <c r="BF35" i="50"/>
  <c r="X35" i="50"/>
  <c r="AJ35" i="50"/>
  <c r="BN71" i="50"/>
  <c r="AV71" i="50"/>
  <c r="T71" i="50"/>
  <c r="BA76" i="10"/>
  <c r="BB76" i="50"/>
  <c r="AH76" i="50"/>
  <c r="AF83" i="10"/>
  <c r="T83" i="50"/>
  <c r="AS70" i="50"/>
  <c r="BT70" i="10"/>
  <c r="BQ17" i="10"/>
  <c r="BJ17" i="50"/>
  <c r="AA17" i="50"/>
  <c r="AD35" i="10"/>
  <c r="BI35" i="50"/>
  <c r="AW35" i="50"/>
  <c r="AO70" i="50"/>
  <c r="Q76" i="51"/>
  <c r="BC83" i="10"/>
  <c r="AK83" i="10"/>
  <c r="V83" i="10"/>
  <c r="BT83" i="10"/>
  <c r="AY83" i="50"/>
  <c r="V83" i="50"/>
  <c r="BH83" i="10"/>
  <c r="AH35" i="50"/>
  <c r="S18" i="51"/>
  <c r="AW17" i="50"/>
  <c r="AB17" i="50"/>
  <c r="BO35" i="50"/>
  <c r="BB35" i="50"/>
  <c r="AQ35" i="50"/>
  <c r="AN70" i="10"/>
  <c r="BB70" i="50"/>
  <c r="V76" i="51"/>
  <c r="AT83" i="10"/>
  <c r="AE83" i="10"/>
  <c r="BQ83" i="50"/>
  <c r="X83" i="50"/>
  <c r="AK83" i="50"/>
  <c r="AC35" i="50"/>
  <c r="AE70" i="10"/>
  <c r="Q70" i="50"/>
  <c r="T18" i="51"/>
  <c r="BP17" i="50"/>
  <c r="AX17" i="50"/>
  <c r="AJ17" i="50"/>
  <c r="BD18" i="50"/>
  <c r="AB18" i="50"/>
  <c r="BP35" i="50"/>
  <c r="BJ35" i="50"/>
  <c r="BE35" i="50"/>
  <c r="AX35" i="50"/>
  <c r="AR35" i="50"/>
  <c r="AL35" i="50"/>
  <c r="AA35" i="50"/>
  <c r="BP70" i="50"/>
  <c r="BA70" i="50"/>
  <c r="AA70" i="50"/>
  <c r="S70" i="50"/>
  <c r="AD76" i="10"/>
  <c r="BN76" i="50"/>
  <c r="BD76" i="50"/>
  <c r="AV76" i="50"/>
  <c r="AL76" i="50"/>
  <c r="X76" i="50"/>
  <c r="S76" i="50"/>
  <c r="BJ76" i="10"/>
  <c r="AB83" i="50"/>
  <c r="AG83" i="50"/>
  <c r="AC17" i="50"/>
  <c r="AX70" i="10"/>
  <c r="BG17" i="50"/>
  <c r="AR17" i="50"/>
  <c r="V17" i="50"/>
  <c r="S17" i="50"/>
  <c r="AK18" i="50"/>
  <c r="T35" i="51"/>
  <c r="BN35" i="50"/>
  <c r="BG35" i="50"/>
  <c r="BA35" i="50"/>
  <c r="AV35" i="50"/>
  <c r="AO35" i="50"/>
  <c r="BH70" i="10"/>
  <c r="U71" i="51"/>
  <c r="BG70" i="50"/>
  <c r="AR70" i="50"/>
  <c r="R70" i="50"/>
  <c r="W70" i="50" s="1"/>
  <c r="AV76" i="10"/>
  <c r="BH76" i="50"/>
  <c r="AZ76" i="50"/>
  <c r="AP76" i="50"/>
  <c r="AE76" i="50"/>
  <c r="BQ76" i="50"/>
  <c r="BG83" i="10"/>
  <c r="G35" i="51"/>
  <c r="R35" i="50"/>
  <c r="U35" i="50" s="1"/>
  <c r="Q35" i="50"/>
  <c r="G35" i="10"/>
  <c r="M35" i="10"/>
  <c r="BT35" i="10" s="1"/>
  <c r="M35" i="51"/>
  <c r="R35" i="51" s="1"/>
  <c r="U35" i="51" s="1"/>
  <c r="S17" i="10"/>
  <c r="V70" i="10"/>
  <c r="BM83" i="10"/>
  <c r="AN17" i="10"/>
  <c r="BJ18" i="10"/>
  <c r="Z35" i="10"/>
  <c r="N70" i="10"/>
  <c r="U76" i="10"/>
  <c r="AY83" i="10"/>
  <c r="AN83" i="10"/>
  <c r="AB83" i="10"/>
  <c r="R83" i="10"/>
  <c r="AY17" i="10"/>
  <c r="AE17" i="10"/>
  <c r="T17" i="10"/>
  <c r="BC35" i="10"/>
  <c r="AM35" i="10"/>
  <c r="AE71" i="10"/>
  <c r="AX17" i="10"/>
  <c r="V17" i="10"/>
  <c r="BJ35" i="10"/>
  <c r="BA35" i="10"/>
  <c r="AI35" i="10"/>
  <c r="BU35" i="10"/>
  <c r="BO71" i="10"/>
  <c r="AN71" i="10"/>
  <c r="BI70" i="10"/>
  <c r="BF76" i="10"/>
  <c r="AM76" i="10"/>
  <c r="BQ83" i="10"/>
  <c r="BB83" i="10"/>
  <c r="AS83" i="10"/>
  <c r="AJ83" i="10"/>
  <c r="AA83" i="10"/>
  <c r="BC17" i="10"/>
  <c r="AK17" i="10"/>
  <c r="BT17" i="10"/>
  <c r="BF35" i="10"/>
  <c r="AR35" i="10"/>
  <c r="BF71" i="10"/>
  <c r="V71" i="10"/>
  <c r="BH83" i="50"/>
  <c r="BM83" i="50"/>
  <c r="AT83" i="50"/>
  <c r="T83" i="51"/>
  <c r="W83" i="51"/>
  <c r="BL83" i="50"/>
  <c r="AX83" i="50"/>
  <c r="BO83" i="10"/>
  <c r="BJ83" i="10"/>
  <c r="BF83" i="10"/>
  <c r="BA83" i="10"/>
  <c r="AV83" i="10"/>
  <c r="AR83" i="10"/>
  <c r="AM83" i="10"/>
  <c r="AI83" i="10"/>
  <c r="AD83" i="10"/>
  <c r="Z83" i="10"/>
  <c r="V83" i="51"/>
  <c r="R83" i="51"/>
  <c r="S83" i="51" s="1"/>
  <c r="BO83" i="50"/>
  <c r="BJ83" i="50"/>
  <c r="BF83" i="50"/>
  <c r="BA83" i="50"/>
  <c r="AW83" i="50"/>
  <c r="AR83" i="50"/>
  <c r="AN83" i="50"/>
  <c r="AI83" i="50"/>
  <c r="AD83" i="50"/>
  <c r="Z83" i="50"/>
  <c r="Q83" i="50"/>
  <c r="BP83" i="10"/>
  <c r="BK83" i="10"/>
  <c r="BP83" i="50"/>
  <c r="BG83" i="50"/>
  <c r="BB83" i="50"/>
  <c r="AS83" i="50"/>
  <c r="AO83" i="50"/>
  <c r="AJ83" i="50"/>
  <c r="AE83" i="50"/>
  <c r="AA83" i="50"/>
  <c r="R83" i="50"/>
  <c r="S83" i="50" s="1"/>
  <c r="BR83" i="10"/>
  <c r="BN83" i="10"/>
  <c r="BI83" i="10"/>
  <c r="BD83" i="10"/>
  <c r="AZ83" i="10"/>
  <c r="AU83" i="10"/>
  <c r="AQ83" i="10"/>
  <c r="AL83" i="10"/>
  <c r="AH83" i="10"/>
  <c r="AC83" i="10"/>
  <c r="X83" i="10"/>
  <c r="T83" i="10"/>
  <c r="BR83" i="50"/>
  <c r="BN83" i="50"/>
  <c r="BI83" i="50"/>
  <c r="BE83" i="50"/>
  <c r="AZ83" i="50"/>
  <c r="AV83" i="50"/>
  <c r="AQ83" i="50"/>
  <c r="AL83" i="50"/>
  <c r="AH83" i="50"/>
  <c r="J76" i="10"/>
  <c r="J76" i="51"/>
  <c r="G76" i="50"/>
  <c r="AS76" i="50" s="1"/>
  <c r="B24" i="105"/>
  <c r="M76" i="51" s="1"/>
  <c r="J76" i="50"/>
  <c r="BI76" i="50" s="1"/>
  <c r="B22" i="105"/>
  <c r="BO76" i="10"/>
  <c r="G76" i="10"/>
  <c r="B23" i="105"/>
  <c r="BR76" i="50"/>
  <c r="BL76" i="50"/>
  <c r="BE76" i="50"/>
  <c r="AY76" i="50"/>
  <c r="AQ76" i="50"/>
  <c r="AJ76" i="50"/>
  <c r="AA76" i="50"/>
  <c r="U76" i="51"/>
  <c r="BQ76" i="10"/>
  <c r="BM76" i="10"/>
  <c r="BH76" i="10"/>
  <c r="BC76" i="10"/>
  <c r="AY76" i="10"/>
  <c r="AT76" i="10"/>
  <c r="AP76" i="10"/>
  <c r="AK76" i="10"/>
  <c r="AF76" i="10"/>
  <c r="AB76" i="10"/>
  <c r="W76" i="10"/>
  <c r="S76" i="10"/>
  <c r="Q76" i="10"/>
  <c r="BP76" i="10"/>
  <c r="BK76" i="10"/>
  <c r="BG76" i="10"/>
  <c r="BB76" i="10"/>
  <c r="AX76" i="10"/>
  <c r="AS76" i="10"/>
  <c r="AN76" i="10"/>
  <c r="AJ76" i="10"/>
  <c r="AE76" i="10"/>
  <c r="AA76" i="10"/>
  <c r="V76" i="10"/>
  <c r="R76" i="10"/>
  <c r="W76" i="51"/>
  <c r="BO76" i="50"/>
  <c r="BJ76" i="50"/>
  <c r="BF76" i="50"/>
  <c r="BA76" i="50"/>
  <c r="AW76" i="50"/>
  <c r="AR76" i="50"/>
  <c r="AN76" i="50"/>
  <c r="AI76" i="50"/>
  <c r="AD76" i="50"/>
  <c r="Z76" i="50"/>
  <c r="BR76" i="10"/>
  <c r="BN76" i="10"/>
  <c r="BI76" i="10"/>
  <c r="BD76" i="10"/>
  <c r="AZ76" i="10"/>
  <c r="AU76" i="10"/>
  <c r="AQ76" i="10"/>
  <c r="AL76" i="10"/>
  <c r="AH76" i="10"/>
  <c r="AC76" i="10"/>
  <c r="X76" i="10"/>
  <c r="T76" i="10"/>
  <c r="AK76" i="50"/>
  <c r="AG76" i="50"/>
  <c r="BC70" i="10"/>
  <c r="S70" i="10"/>
  <c r="BQ70" i="10"/>
  <c r="BB70" i="10"/>
  <c r="AS70" i="10"/>
  <c r="AJ70" i="10"/>
  <c r="AA70" i="10"/>
  <c r="R70" i="10"/>
  <c r="AT70" i="10"/>
  <c r="AK70" i="10"/>
  <c r="AB70" i="10"/>
  <c r="Q70" i="10"/>
  <c r="BM70" i="10"/>
  <c r="AY70" i="10"/>
  <c r="AP70" i="10"/>
  <c r="AF70" i="10"/>
  <c r="W70" i="10"/>
  <c r="BU70" i="10"/>
  <c r="BK71" i="10"/>
  <c r="BB71" i="10"/>
  <c r="AJ71" i="10"/>
  <c r="R71" i="10"/>
  <c r="AI71" i="10"/>
  <c r="AY71" i="50"/>
  <c r="AL71" i="50"/>
  <c r="BJ71" i="10"/>
  <c r="AX71" i="10"/>
  <c r="Q70" i="51"/>
  <c r="BJ70" i="50"/>
  <c r="AX70" i="50"/>
  <c r="AE70" i="50"/>
  <c r="AB70" i="50"/>
  <c r="AJ70" i="50"/>
  <c r="S71" i="51"/>
  <c r="V71" i="51"/>
  <c r="X71" i="51"/>
  <c r="BM71" i="50"/>
  <c r="BD71" i="50"/>
  <c r="AT71" i="50"/>
  <c r="S71" i="50"/>
  <c r="V70" i="51"/>
  <c r="U70" i="51"/>
  <c r="BO70" i="50"/>
  <c r="BF70" i="50"/>
  <c r="AW70" i="50"/>
  <c r="AN70" i="50"/>
  <c r="AV71" i="10"/>
  <c r="AM71" i="10"/>
  <c r="AD71" i="10"/>
  <c r="Z71" i="10"/>
  <c r="U71" i="10"/>
  <c r="AI70" i="50"/>
  <c r="Z70" i="50"/>
  <c r="BR71" i="10"/>
  <c r="BN71" i="10"/>
  <c r="BI71" i="10"/>
  <c r="BD71" i="10"/>
  <c r="AZ71" i="10"/>
  <c r="AU71" i="10"/>
  <c r="AQ71" i="10"/>
  <c r="AL71" i="10"/>
  <c r="AH71" i="10"/>
  <c r="AC71" i="10"/>
  <c r="X71" i="10"/>
  <c r="T71" i="10"/>
  <c r="BT71" i="10"/>
  <c r="BO70" i="10"/>
  <c r="BJ70" i="10"/>
  <c r="BF70" i="10"/>
  <c r="BA70" i="10"/>
  <c r="AV70" i="10"/>
  <c r="AR70" i="10"/>
  <c r="AM70" i="10"/>
  <c r="AI70" i="10"/>
  <c r="AD70" i="10"/>
  <c r="Z70" i="10"/>
  <c r="U70" i="10"/>
  <c r="R71" i="51"/>
  <c r="W71" i="51" s="1"/>
  <c r="X70" i="51"/>
  <c r="T70" i="51"/>
  <c r="BP71" i="50"/>
  <c r="BL71" i="50"/>
  <c r="BG71" i="50"/>
  <c r="BB71" i="50"/>
  <c r="AX71" i="50"/>
  <c r="AO71" i="50"/>
  <c r="AJ71" i="50"/>
  <c r="AE71" i="50"/>
  <c r="AA71" i="50"/>
  <c r="R71" i="50"/>
  <c r="W71" i="50" s="1"/>
  <c r="BR70" i="50"/>
  <c r="BN70" i="50"/>
  <c r="BI70" i="50"/>
  <c r="BE70" i="50"/>
  <c r="AZ70" i="50"/>
  <c r="AV70" i="50"/>
  <c r="AQ70" i="50"/>
  <c r="AL70" i="50"/>
  <c r="AH70" i="50"/>
  <c r="X70" i="50"/>
  <c r="T70" i="50"/>
  <c r="BA71" i="10"/>
  <c r="AR71" i="10"/>
  <c r="BP70" i="10"/>
  <c r="BK70" i="10"/>
  <c r="BG70" i="10"/>
  <c r="AD70" i="50"/>
  <c r="BQ71" i="10"/>
  <c r="BM71" i="10"/>
  <c r="BH71" i="10"/>
  <c r="BC71" i="10"/>
  <c r="AY71" i="10"/>
  <c r="AT71" i="10"/>
  <c r="AP71" i="10"/>
  <c r="AK71" i="10"/>
  <c r="AF71" i="10"/>
  <c r="AB71" i="10"/>
  <c r="W71" i="10"/>
  <c r="S71" i="10"/>
  <c r="BR70" i="10"/>
  <c r="BN70" i="10"/>
  <c r="BD70" i="10"/>
  <c r="AZ70" i="10"/>
  <c r="AU70" i="10"/>
  <c r="AQ70" i="10"/>
  <c r="AL70" i="10"/>
  <c r="AH70" i="10"/>
  <c r="AC70" i="10"/>
  <c r="X70" i="10"/>
  <c r="BO71" i="50"/>
  <c r="BJ71" i="50"/>
  <c r="BF71" i="50"/>
  <c r="BA71" i="50"/>
  <c r="AW71" i="50"/>
  <c r="AR71" i="50"/>
  <c r="AN71" i="50"/>
  <c r="AI71" i="50"/>
  <c r="AD71" i="50"/>
  <c r="Z71" i="50"/>
  <c r="BQ70" i="50"/>
  <c r="BM70" i="50"/>
  <c r="BH70" i="50"/>
  <c r="BD70" i="50"/>
  <c r="AY70" i="50"/>
  <c r="AT70" i="50"/>
  <c r="AP70" i="50"/>
  <c r="AK70" i="50"/>
  <c r="AG70" i="50"/>
  <c r="X35" i="51"/>
  <c r="V35" i="51"/>
  <c r="BQ35" i="50"/>
  <c r="BM35" i="50"/>
  <c r="BH35" i="50"/>
  <c r="BD35" i="50"/>
  <c r="AY35" i="50"/>
  <c r="AT35" i="50"/>
  <c r="AP35" i="50"/>
  <c r="AY35" i="10"/>
  <c r="AT35" i="10"/>
  <c r="AP35" i="10"/>
  <c r="AF35" i="10"/>
  <c r="AB35" i="10"/>
  <c r="W35" i="10"/>
  <c r="S35" i="10"/>
  <c r="BP35" i="10"/>
  <c r="BK35" i="10"/>
  <c r="BG35" i="10"/>
  <c r="BB35" i="10"/>
  <c r="AX35" i="10"/>
  <c r="AN35" i="10"/>
  <c r="AJ35" i="10"/>
  <c r="AE35" i="10"/>
  <c r="AA35" i="10"/>
  <c r="V35" i="10"/>
  <c r="R35" i="10"/>
  <c r="W35" i="51"/>
  <c r="AI35" i="50"/>
  <c r="AD35" i="50"/>
  <c r="Z35" i="50"/>
  <c r="BR35" i="10"/>
  <c r="BN35" i="10"/>
  <c r="BI35" i="10"/>
  <c r="BD35" i="10"/>
  <c r="AZ35" i="10"/>
  <c r="AU35" i="10"/>
  <c r="AQ35" i="10"/>
  <c r="AL35" i="10"/>
  <c r="AH35" i="10"/>
  <c r="X35" i="10"/>
  <c r="T35" i="10"/>
  <c r="AK35" i="50"/>
  <c r="AG35" i="50"/>
  <c r="BH18" i="50"/>
  <c r="AQ18" i="50"/>
  <c r="BF18" i="10"/>
  <c r="BM17" i="10"/>
  <c r="AT17" i="10"/>
  <c r="AB17" i="10"/>
  <c r="BO17" i="50"/>
  <c r="BA17" i="50"/>
  <c r="AO17" i="50"/>
  <c r="BP18" i="10"/>
  <c r="BG18" i="10"/>
  <c r="BO18" i="10"/>
  <c r="BR18" i="50"/>
  <c r="BI18" i="50"/>
  <c r="AZ18" i="50"/>
  <c r="AP18" i="50"/>
  <c r="BB17" i="10"/>
  <c r="AS17" i="10"/>
  <c r="AJ17" i="10"/>
  <c r="AA17" i="10"/>
  <c r="BL17" i="50"/>
  <c r="BB17" i="50"/>
  <c r="AS17" i="50"/>
  <c r="AP17" i="10"/>
  <c r="AF17" i="10"/>
  <c r="BB18" i="10"/>
  <c r="AJ18" i="10"/>
  <c r="BI17" i="10"/>
  <c r="BN17" i="10"/>
  <c r="BR17" i="10"/>
  <c r="BF17" i="10"/>
  <c r="BJ17" i="10"/>
  <c r="BO17" i="10"/>
  <c r="BG17" i="10"/>
  <c r="BK17" i="10"/>
  <c r="BP17" i="10"/>
  <c r="AX18" i="10"/>
  <c r="AE18" i="10"/>
  <c r="BH17" i="10"/>
  <c r="AS18" i="10"/>
  <c r="Z18" i="10"/>
  <c r="AI18" i="10"/>
  <c r="AR18" i="10"/>
  <c r="BA18" i="10"/>
  <c r="AD18" i="10"/>
  <c r="AM18" i="10"/>
  <c r="AV18" i="10"/>
  <c r="N17" i="10"/>
  <c r="BU17" i="10"/>
  <c r="AI17" i="50"/>
  <c r="AD17" i="50"/>
  <c r="Z17" i="50"/>
  <c r="BR18" i="10"/>
  <c r="BN18" i="10"/>
  <c r="BI18" i="10"/>
  <c r="BD18" i="10"/>
  <c r="AZ18" i="10"/>
  <c r="AU18" i="10"/>
  <c r="AQ18" i="10"/>
  <c r="AL18" i="10"/>
  <c r="AH18" i="10"/>
  <c r="AC18" i="10"/>
  <c r="X18" i="10"/>
  <c r="T18" i="10"/>
  <c r="BT18" i="10"/>
  <c r="BA17" i="10"/>
  <c r="AV17" i="10"/>
  <c r="AR17" i="10"/>
  <c r="AM17" i="10"/>
  <c r="AI17" i="10"/>
  <c r="AD17" i="10"/>
  <c r="Z17" i="10"/>
  <c r="U17" i="10"/>
  <c r="R18" i="51"/>
  <c r="X18" i="51" s="1"/>
  <c r="X17" i="51"/>
  <c r="T17" i="51"/>
  <c r="BP18" i="50"/>
  <c r="BL18" i="50"/>
  <c r="BG18" i="50"/>
  <c r="BB18" i="50"/>
  <c r="AX18" i="50"/>
  <c r="AS18" i="50"/>
  <c r="AO18" i="50"/>
  <c r="AJ18" i="50"/>
  <c r="AE18" i="50"/>
  <c r="AA18" i="50"/>
  <c r="R18" i="50"/>
  <c r="X18" i="50" s="1"/>
  <c r="BR17" i="50"/>
  <c r="BN17" i="50"/>
  <c r="BI17" i="50"/>
  <c r="BE17" i="50"/>
  <c r="AZ17" i="50"/>
  <c r="AV17" i="50"/>
  <c r="AQ17" i="50"/>
  <c r="AL17" i="50"/>
  <c r="AH17" i="50"/>
  <c r="X17" i="50"/>
  <c r="T17" i="50"/>
  <c r="U18" i="10"/>
  <c r="BU18" i="10"/>
  <c r="BQ18" i="10"/>
  <c r="BM18" i="10"/>
  <c r="BH18" i="10"/>
  <c r="BC18" i="10"/>
  <c r="AY18" i="10"/>
  <c r="AT18" i="10"/>
  <c r="AP18" i="10"/>
  <c r="AK18" i="10"/>
  <c r="AF18" i="10"/>
  <c r="AB18" i="10"/>
  <c r="W18" i="10"/>
  <c r="S18" i="10"/>
  <c r="BD17" i="10"/>
  <c r="AZ17" i="10"/>
  <c r="AU17" i="10"/>
  <c r="AQ17" i="10"/>
  <c r="AL17" i="10"/>
  <c r="AH17" i="10"/>
  <c r="AC17" i="10"/>
  <c r="X17" i="10"/>
  <c r="W17" i="51"/>
  <c r="BO18" i="50"/>
  <c r="BJ18" i="50"/>
  <c r="BF18" i="50"/>
  <c r="BA18" i="50"/>
  <c r="AW18" i="50"/>
  <c r="AR18" i="50"/>
  <c r="AN18" i="50"/>
  <c r="AI18" i="50"/>
  <c r="AD18" i="50"/>
  <c r="Z18" i="50"/>
  <c r="BQ17" i="50"/>
  <c r="BM17" i="50"/>
  <c r="BH17" i="50"/>
  <c r="BD17" i="50"/>
  <c r="AY17" i="50"/>
  <c r="AT17" i="50"/>
  <c r="AP17" i="50"/>
  <c r="AK17" i="50"/>
  <c r="AG17" i="50"/>
  <c r="W17" i="50"/>
  <c r="B23" i="102"/>
  <c r="B17" i="101"/>
  <c r="L83" i="50" l="1"/>
  <c r="L83" i="51"/>
  <c r="L83" i="10"/>
  <c r="M83" i="50"/>
  <c r="N83" i="50" s="1"/>
  <c r="M83" i="51"/>
  <c r="N83" i="51" s="1"/>
  <c r="M83" i="10"/>
  <c r="AC35" i="10"/>
  <c r="Q35" i="10"/>
  <c r="AB76" i="50"/>
  <c r="U35" i="10"/>
  <c r="Q35" i="51"/>
  <c r="BH35" i="10"/>
  <c r="I35" i="10"/>
  <c r="I35" i="50"/>
  <c r="I35" i="51"/>
  <c r="M76" i="10"/>
  <c r="BU76" i="10" s="1"/>
  <c r="M76" i="50"/>
  <c r="L76" i="50"/>
  <c r="L76" i="51"/>
  <c r="L76" i="10"/>
  <c r="N83" i="10" l="1"/>
  <c r="BU83" i="10"/>
  <c r="BO35" i="10"/>
  <c r="AK35" i="10"/>
  <c r="N35" i="10"/>
  <c r="N76" i="10"/>
  <c r="J13" i="101" l="1"/>
  <c r="I13" i="101"/>
  <c r="H13" i="101"/>
  <c r="G13" i="101"/>
  <c r="J17" i="101"/>
  <c r="I17" i="101"/>
  <c r="H10" i="101"/>
  <c r="H17" i="101" s="1"/>
  <c r="B24" i="100"/>
  <c r="B20" i="100"/>
  <c r="B24" i="99"/>
  <c r="B18" i="99"/>
  <c r="B16" i="99"/>
  <c r="I21" i="99"/>
  <c r="O10" i="99"/>
  <c r="G10" i="99"/>
  <c r="K19" i="99" s="1"/>
  <c r="E40" i="100"/>
  <c r="I21" i="100"/>
  <c r="K19" i="100"/>
  <c r="K18" i="100"/>
  <c r="B16" i="100"/>
  <c r="E40" i="99"/>
  <c r="E40" i="89"/>
  <c r="B23" i="89"/>
  <c r="B22" i="89"/>
  <c r="B18" i="89"/>
  <c r="B24" i="89" s="1"/>
  <c r="E40" i="56"/>
  <c r="B24" i="56"/>
  <c r="B26" i="56" s="1"/>
  <c r="B23" i="56"/>
  <c r="B22" i="56"/>
  <c r="G71" i="50" l="1"/>
  <c r="G71" i="51"/>
  <c r="M71" i="50"/>
  <c r="M71" i="51"/>
  <c r="BU71" i="10"/>
  <c r="J71" i="51"/>
  <c r="J71" i="50"/>
  <c r="BI71" i="50" s="1"/>
  <c r="I20" i="101"/>
  <c r="B20" i="101" s="1"/>
  <c r="G17" i="101"/>
  <c r="K18" i="99"/>
  <c r="I22" i="99"/>
  <c r="I23" i="99" s="1"/>
  <c r="I24" i="99" s="1"/>
  <c r="I22" i="100"/>
  <c r="I23" i="100" s="1"/>
  <c r="I24" i="100" s="1"/>
  <c r="B26" i="89"/>
  <c r="B25" i="89"/>
  <c r="B25" i="56"/>
  <c r="N71" i="10" l="1"/>
  <c r="AB71" i="50"/>
  <c r="AS71" i="50"/>
  <c r="J35" i="51"/>
  <c r="J35" i="10"/>
  <c r="AS35" i="10" s="1"/>
  <c r="J35" i="50"/>
  <c r="B22" i="101"/>
  <c r="B23" i="101"/>
  <c r="I19" i="100"/>
  <c r="I19" i="99"/>
  <c r="I18" i="99"/>
  <c r="B20" i="99" s="1"/>
  <c r="L35" i="50" l="1"/>
  <c r="L35" i="51"/>
  <c r="L35" i="10"/>
  <c r="I18" i="100"/>
  <c r="B23" i="100" s="1"/>
  <c r="B22" i="99"/>
  <c r="B23" i="99"/>
  <c r="L71" i="51" l="1"/>
  <c r="L71" i="50"/>
  <c r="B22" i="100"/>
  <c r="B20" i="46" l="1"/>
  <c r="B21" i="92"/>
  <c r="B20" i="92"/>
  <c r="B21" i="75"/>
  <c r="B20" i="75"/>
  <c r="B21" i="68"/>
  <c r="B20" i="68"/>
  <c r="B20" i="87"/>
  <c r="B19" i="28"/>
  <c r="B19" i="42"/>
  <c r="C2" i="51"/>
  <c r="C2" i="50"/>
  <c r="B21" i="16" l="1"/>
  <c r="B20" i="16"/>
  <c r="M86" i="51" l="1"/>
  <c r="M61" i="51"/>
  <c r="M99" i="51" s="1"/>
  <c r="M47" i="51"/>
  <c r="M23" i="51"/>
  <c r="M86" i="50"/>
  <c r="M47" i="50"/>
  <c r="B20" i="98"/>
  <c r="B19" i="98"/>
  <c r="B24" i="98" s="1"/>
  <c r="B17" i="98"/>
  <c r="B23" i="98" s="1"/>
  <c r="B16" i="98"/>
  <c r="B22" i="98" s="1"/>
  <c r="I10" i="98"/>
  <c r="H10" i="98"/>
  <c r="P86" i="50"/>
  <c r="P86" i="51"/>
  <c r="P86" i="10"/>
  <c r="O86" i="50"/>
  <c r="O86" i="51"/>
  <c r="Q86" i="51" s="1"/>
  <c r="O86" i="10"/>
  <c r="Q86" i="10" s="1"/>
  <c r="K86" i="50"/>
  <c r="K86" i="51"/>
  <c r="K86" i="10"/>
  <c r="J86" i="50"/>
  <c r="J86" i="51"/>
  <c r="J86" i="10"/>
  <c r="H86" i="50"/>
  <c r="H86" i="51"/>
  <c r="H86" i="10"/>
  <c r="F86" i="50"/>
  <c r="F86" i="51"/>
  <c r="F86" i="10"/>
  <c r="E86" i="50"/>
  <c r="E86" i="51"/>
  <c r="E86" i="10"/>
  <c r="D86" i="50"/>
  <c r="V86" i="50" s="1"/>
  <c r="D86" i="51"/>
  <c r="X86" i="51" s="1"/>
  <c r="D86" i="10"/>
  <c r="C86" i="50"/>
  <c r="C86" i="51"/>
  <c r="C86" i="10"/>
  <c r="B86" i="50"/>
  <c r="B86" i="51"/>
  <c r="B86" i="10"/>
  <c r="V86" i="51"/>
  <c r="P61" i="50"/>
  <c r="P61" i="51"/>
  <c r="P61" i="10"/>
  <c r="O61" i="50"/>
  <c r="O61" i="51"/>
  <c r="O61" i="10"/>
  <c r="Q61" i="10" s="1"/>
  <c r="K61" i="50"/>
  <c r="K61" i="51"/>
  <c r="K61" i="10"/>
  <c r="I61" i="50"/>
  <c r="I61" i="51"/>
  <c r="I61" i="10"/>
  <c r="H61" i="50"/>
  <c r="H61" i="51"/>
  <c r="H61" i="10"/>
  <c r="G61" i="50"/>
  <c r="G99" i="50" s="1"/>
  <c r="G61" i="51"/>
  <c r="G99" i="51" s="1"/>
  <c r="G61" i="10"/>
  <c r="G99" i="10" s="1"/>
  <c r="F61" i="50"/>
  <c r="F61" i="51"/>
  <c r="F61" i="10"/>
  <c r="E61" i="50"/>
  <c r="E61" i="51"/>
  <c r="E61" i="10"/>
  <c r="D61" i="50"/>
  <c r="U61" i="50" s="1"/>
  <c r="D61" i="51"/>
  <c r="S61" i="51" s="1"/>
  <c r="D61" i="10"/>
  <c r="C61" i="50"/>
  <c r="C61" i="51"/>
  <c r="C61" i="10"/>
  <c r="B61" i="50"/>
  <c r="B61" i="51"/>
  <c r="B61" i="10"/>
  <c r="W61" i="50"/>
  <c r="P47" i="50"/>
  <c r="P47" i="51"/>
  <c r="P47" i="10"/>
  <c r="O47" i="50"/>
  <c r="O47" i="51"/>
  <c r="O47" i="10"/>
  <c r="Q47" i="10" s="1"/>
  <c r="M47" i="10"/>
  <c r="L47" i="50"/>
  <c r="L47" i="51"/>
  <c r="L47" i="10"/>
  <c r="K47" i="50"/>
  <c r="K47" i="51"/>
  <c r="K47" i="10"/>
  <c r="J47" i="50"/>
  <c r="J47" i="51"/>
  <c r="J47" i="10"/>
  <c r="I47" i="50"/>
  <c r="I47" i="51"/>
  <c r="I47" i="10"/>
  <c r="H47" i="50"/>
  <c r="H47" i="51"/>
  <c r="H47" i="10"/>
  <c r="G47" i="50"/>
  <c r="G47" i="51"/>
  <c r="G47" i="10"/>
  <c r="F47" i="50"/>
  <c r="F47" i="51"/>
  <c r="F47" i="10"/>
  <c r="E47" i="50"/>
  <c r="E47" i="51"/>
  <c r="E47" i="10"/>
  <c r="D47" i="50"/>
  <c r="V47" i="50" s="1"/>
  <c r="D47" i="51"/>
  <c r="V47" i="51" s="1"/>
  <c r="D47" i="10"/>
  <c r="C47" i="50"/>
  <c r="C47" i="51"/>
  <c r="C47" i="10"/>
  <c r="B47" i="50"/>
  <c r="B47" i="51"/>
  <c r="B47" i="10"/>
  <c r="S47" i="51"/>
  <c r="R47" i="51" l="1"/>
  <c r="Q47" i="51"/>
  <c r="R61" i="51"/>
  <c r="Q61" i="51"/>
  <c r="R61" i="50"/>
  <c r="AD61" i="50"/>
  <c r="AK61" i="50"/>
  <c r="BR61" i="50"/>
  <c r="BN61" i="50"/>
  <c r="BI61" i="50"/>
  <c r="BE61" i="50"/>
  <c r="AZ61" i="50"/>
  <c r="AV61" i="50"/>
  <c r="AQ61" i="50"/>
  <c r="AL61" i="50"/>
  <c r="AG61" i="50"/>
  <c r="AA61" i="50"/>
  <c r="BQ61" i="50"/>
  <c r="BL61" i="50"/>
  <c r="BF61" i="50"/>
  <c r="AY61" i="50"/>
  <c r="AS61" i="50"/>
  <c r="AN61" i="50"/>
  <c r="AE61" i="50"/>
  <c r="BP61" i="50"/>
  <c r="BJ61" i="50"/>
  <c r="BD61" i="50"/>
  <c r="AX61" i="50"/>
  <c r="AR61" i="50"/>
  <c r="AJ61" i="50"/>
  <c r="AC61" i="50"/>
  <c r="BO61" i="50"/>
  <c r="BB61" i="50"/>
  <c r="AP61" i="50"/>
  <c r="AB61" i="50"/>
  <c r="BM61" i="50"/>
  <c r="BA61" i="50"/>
  <c r="AO61" i="50"/>
  <c r="Z61" i="50"/>
  <c r="BG61" i="50"/>
  <c r="AH61" i="50"/>
  <c r="BH61" i="50"/>
  <c r="AW61" i="50"/>
  <c r="AT61" i="50"/>
  <c r="AI61" i="50"/>
  <c r="Q61" i="50"/>
  <c r="R47" i="50"/>
  <c r="AK47" i="50"/>
  <c r="AD47" i="50"/>
  <c r="BQ47" i="50"/>
  <c r="BM47" i="50"/>
  <c r="BH47" i="50"/>
  <c r="BD47" i="50"/>
  <c r="AY47" i="50"/>
  <c r="AT47" i="50"/>
  <c r="AP47" i="50"/>
  <c r="AJ47" i="50"/>
  <c r="AE47" i="50"/>
  <c r="Z47" i="50"/>
  <c r="BP47" i="50"/>
  <c r="BL47" i="50"/>
  <c r="BG47" i="50"/>
  <c r="BB47" i="50"/>
  <c r="AX47" i="50"/>
  <c r="AS47" i="50"/>
  <c r="AO47" i="50"/>
  <c r="AI47" i="50"/>
  <c r="AC47" i="50"/>
  <c r="BJ47" i="50"/>
  <c r="BA47" i="50"/>
  <c r="AR47" i="50"/>
  <c r="AH47" i="50"/>
  <c r="BR47" i="50"/>
  <c r="BI47" i="50"/>
  <c r="AZ47" i="50"/>
  <c r="AQ47" i="50"/>
  <c r="AG47" i="50"/>
  <c r="BN47" i="50"/>
  <c r="AV47" i="50"/>
  <c r="AA47" i="50"/>
  <c r="BE47" i="50"/>
  <c r="AW47" i="50"/>
  <c r="BF47" i="50"/>
  <c r="AN47" i="50"/>
  <c r="Q47" i="50"/>
  <c r="AL47" i="50"/>
  <c r="BO47" i="50"/>
  <c r="AB47" i="50"/>
  <c r="BP86" i="50"/>
  <c r="BL86" i="50"/>
  <c r="AD86" i="50"/>
  <c r="BO86" i="50"/>
  <c r="BJ86" i="50"/>
  <c r="BF86" i="50"/>
  <c r="AK86" i="50"/>
  <c r="BR86" i="50"/>
  <c r="BI86" i="50"/>
  <c r="BD86" i="50"/>
  <c r="AY86" i="50"/>
  <c r="AT86" i="50"/>
  <c r="AP86" i="50"/>
  <c r="AJ86" i="50"/>
  <c r="AE86" i="50"/>
  <c r="BH86" i="50"/>
  <c r="BA86" i="50"/>
  <c r="AV86" i="50"/>
  <c r="AH86" i="50"/>
  <c r="AA86" i="50"/>
  <c r="BN86" i="50"/>
  <c r="BB86" i="50"/>
  <c r="AS86" i="50"/>
  <c r="AL86" i="50"/>
  <c r="AB86" i="50"/>
  <c r="BM86" i="50"/>
  <c r="AX86" i="50"/>
  <c r="AN86" i="50"/>
  <c r="BG86" i="50"/>
  <c r="AI86" i="50"/>
  <c r="AR86" i="50"/>
  <c r="BQ86" i="50"/>
  <c r="AQ86" i="50"/>
  <c r="AZ86" i="50"/>
  <c r="BE86" i="50"/>
  <c r="AC86" i="50"/>
  <c r="Q86" i="50"/>
  <c r="W47" i="50"/>
  <c r="T47" i="50"/>
  <c r="X47" i="50"/>
  <c r="S47" i="50"/>
  <c r="N47" i="10"/>
  <c r="U86" i="51"/>
  <c r="AE47" i="10"/>
  <c r="X61" i="50"/>
  <c r="T86" i="51"/>
  <c r="T86" i="50"/>
  <c r="U86" i="50"/>
  <c r="Z86" i="10"/>
  <c r="W86" i="50"/>
  <c r="V61" i="51"/>
  <c r="V61" i="10"/>
  <c r="T61" i="50"/>
  <c r="AT86" i="10"/>
  <c r="AA61" i="10"/>
  <c r="BG61" i="10"/>
  <c r="AX47" i="10"/>
  <c r="AS47" i="10"/>
  <c r="AS61" i="10"/>
  <c r="BC61" i="10"/>
  <c r="AP61" i="10"/>
  <c r="R61" i="10"/>
  <c r="BM61" i="10"/>
  <c r="AA47" i="10"/>
  <c r="BB61" i="10"/>
  <c r="AJ61" i="10"/>
  <c r="S61" i="10"/>
  <c r="AE61" i="10"/>
  <c r="BG47" i="10"/>
  <c r="AJ47" i="10"/>
  <c r="BQ61" i="10"/>
  <c r="AT61" i="10"/>
  <c r="AF61" i="10"/>
  <c r="T86" i="10"/>
  <c r="BP61" i="10"/>
  <c r="BN86" i="10"/>
  <c r="AM86" i="10"/>
  <c r="BR86" i="10"/>
  <c r="BI86" i="10"/>
  <c r="AF86" i="10"/>
  <c r="R86" i="10"/>
  <c r="AZ86" i="10"/>
  <c r="BD86" i="10"/>
  <c r="AR86" i="10"/>
  <c r="AD86" i="10"/>
  <c r="BA86" i="10"/>
  <c r="AU86" i="10"/>
  <c r="AP86" i="10"/>
  <c r="AH86" i="10"/>
  <c r="AB86" i="10"/>
  <c r="U86" i="10"/>
  <c r="AY86" i="10"/>
  <c r="AL86" i="10"/>
  <c r="X86" i="10"/>
  <c r="BC86" i="10"/>
  <c r="AV86" i="10"/>
  <c r="AQ86" i="10"/>
  <c r="AK86" i="10"/>
  <c r="AC86" i="10"/>
  <c r="W86" i="10"/>
  <c r="BQ86" i="10"/>
  <c r="BH86" i="10"/>
  <c r="W86" i="51"/>
  <c r="BP86" i="10"/>
  <c r="BK86" i="10"/>
  <c r="BG86" i="10"/>
  <c r="BB86" i="10"/>
  <c r="AX86" i="10"/>
  <c r="AS86" i="10"/>
  <c r="AN86" i="10"/>
  <c r="AJ86" i="10"/>
  <c r="AE86" i="10"/>
  <c r="V86" i="10"/>
  <c r="X86" i="50"/>
  <c r="BO86" i="10"/>
  <c r="BJ86" i="10"/>
  <c r="BH61" i="10"/>
  <c r="AY61" i="10"/>
  <c r="AK61" i="10"/>
  <c r="BK61" i="10"/>
  <c r="V61" i="50"/>
  <c r="AX61" i="10"/>
  <c r="AN61" i="10"/>
  <c r="S61" i="50"/>
  <c r="BO61" i="10"/>
  <c r="BJ61" i="10"/>
  <c r="BF61" i="10"/>
  <c r="BA61" i="10"/>
  <c r="AV61" i="10"/>
  <c r="AR61" i="10"/>
  <c r="AM61" i="10"/>
  <c r="AI61" i="10"/>
  <c r="AD61" i="10"/>
  <c r="Z61" i="10"/>
  <c r="U61" i="10"/>
  <c r="U61" i="51"/>
  <c r="BR61" i="10"/>
  <c r="BN61" i="10"/>
  <c r="BI61" i="10"/>
  <c r="BD61" i="10"/>
  <c r="AZ61" i="10"/>
  <c r="AU61" i="10"/>
  <c r="AQ61" i="10"/>
  <c r="AL61" i="10"/>
  <c r="AH61" i="10"/>
  <c r="AC61" i="10"/>
  <c r="X61" i="10"/>
  <c r="T61" i="10"/>
  <c r="BT61" i="10"/>
  <c r="X61" i="51"/>
  <c r="T61" i="51"/>
  <c r="AB61" i="10"/>
  <c r="W61" i="10"/>
  <c r="W61" i="51"/>
  <c r="BK47" i="10"/>
  <c r="BP47" i="10"/>
  <c r="AN47" i="10"/>
  <c r="BB47" i="10"/>
  <c r="S47" i="10"/>
  <c r="U47" i="50"/>
  <c r="V47" i="10"/>
  <c r="R47" i="10"/>
  <c r="BO47" i="10"/>
  <c r="BJ47" i="10"/>
  <c r="BF47" i="10"/>
  <c r="BA47" i="10"/>
  <c r="AV47" i="10"/>
  <c r="AR47" i="10"/>
  <c r="AM47" i="10"/>
  <c r="AI47" i="10"/>
  <c r="AD47" i="10"/>
  <c r="Z47" i="10"/>
  <c r="U47" i="10"/>
  <c r="BU47" i="10"/>
  <c r="U47" i="51"/>
  <c r="BR47" i="10"/>
  <c r="BN47" i="10"/>
  <c r="BI47" i="10"/>
  <c r="BD47" i="10"/>
  <c r="AZ47" i="10"/>
  <c r="AU47" i="10"/>
  <c r="AQ47" i="10"/>
  <c r="AL47" i="10"/>
  <c r="AH47" i="10"/>
  <c r="AC47" i="10"/>
  <c r="X47" i="10"/>
  <c r="T47" i="10"/>
  <c r="BT47" i="10"/>
  <c r="X47" i="51"/>
  <c r="T47" i="51"/>
  <c r="BQ47" i="10"/>
  <c r="BM47" i="10"/>
  <c r="BH47" i="10"/>
  <c r="BC47" i="10"/>
  <c r="AY47" i="10"/>
  <c r="AT47" i="10"/>
  <c r="AP47" i="10"/>
  <c r="AK47" i="10"/>
  <c r="AF47" i="10"/>
  <c r="AB47" i="10"/>
  <c r="W47" i="10"/>
  <c r="W47" i="51"/>
  <c r="B18" i="97"/>
  <c r="E40" i="98"/>
  <c r="G86" i="10" l="1"/>
  <c r="G86" i="51"/>
  <c r="G86" i="50"/>
  <c r="R86" i="51"/>
  <c r="S86" i="51" s="1"/>
  <c r="M86" i="10"/>
  <c r="BU86" i="10" s="1"/>
  <c r="B19" i="97"/>
  <c r="Z86" i="50" l="1"/>
  <c r="AO86" i="50"/>
  <c r="S86" i="10"/>
  <c r="BT86" i="10"/>
  <c r="I86" i="50"/>
  <c r="I86" i="51"/>
  <c r="N86" i="51" s="1"/>
  <c r="I86" i="10"/>
  <c r="N86" i="10" s="1"/>
  <c r="R86" i="50"/>
  <c r="S86" i="50" s="1"/>
  <c r="BF86" i="10"/>
  <c r="AA86" i="10"/>
  <c r="H10" i="96"/>
  <c r="G10" i="96"/>
  <c r="N86" i="50" l="1"/>
  <c r="AG86" i="50"/>
  <c r="AW86" i="50"/>
  <c r="AI86" i="10"/>
  <c r="BM86" i="10"/>
  <c r="L86" i="51"/>
  <c r="L86" i="10"/>
  <c r="L86" i="50"/>
  <c r="B18" i="96"/>
  <c r="M61" i="50" s="1"/>
  <c r="M99" i="50" s="1"/>
  <c r="B24" i="96"/>
  <c r="B20" i="96"/>
  <c r="B16" i="97"/>
  <c r="E40" i="96"/>
  <c r="B19" i="96"/>
  <c r="M61" i="10" l="1"/>
  <c r="M99" i="10" s="1"/>
  <c r="J61" i="10"/>
  <c r="J61" i="50"/>
  <c r="J61" i="51"/>
  <c r="B20" i="97"/>
  <c r="B22" i="97" s="1"/>
  <c r="B24" i="97"/>
  <c r="B22" i="96"/>
  <c r="B23" i="96"/>
  <c r="H88" i="50"/>
  <c r="H88" i="51"/>
  <c r="H88" i="10"/>
  <c r="H87" i="50"/>
  <c r="H87" i="51"/>
  <c r="H87" i="10"/>
  <c r="H85" i="50"/>
  <c r="H85" i="51"/>
  <c r="H85" i="10"/>
  <c r="H84" i="50"/>
  <c r="H84" i="51"/>
  <c r="H84" i="10"/>
  <c r="H82" i="50"/>
  <c r="H82" i="51"/>
  <c r="H82" i="10"/>
  <c r="H81" i="50"/>
  <c r="H81" i="51"/>
  <c r="H81" i="10"/>
  <c r="H80" i="50"/>
  <c r="H80" i="51"/>
  <c r="H80" i="10"/>
  <c r="H79" i="50"/>
  <c r="H79" i="51"/>
  <c r="H79" i="10"/>
  <c r="H78" i="50"/>
  <c r="H78" i="51"/>
  <c r="H78" i="10"/>
  <c r="H77" i="50"/>
  <c r="H77" i="51"/>
  <c r="H77" i="10"/>
  <c r="H75" i="50"/>
  <c r="H75" i="51"/>
  <c r="H75" i="10"/>
  <c r="H74" i="50"/>
  <c r="H74" i="51"/>
  <c r="H74" i="10"/>
  <c r="H73" i="50"/>
  <c r="H73" i="51"/>
  <c r="H73" i="10"/>
  <c r="H69" i="50"/>
  <c r="H69" i="51"/>
  <c r="H69" i="10"/>
  <c r="H68" i="50"/>
  <c r="H68" i="51"/>
  <c r="H68" i="10"/>
  <c r="H67" i="50"/>
  <c r="H67" i="51"/>
  <c r="H67" i="10"/>
  <c r="H66" i="50"/>
  <c r="H66" i="51"/>
  <c r="H66" i="10"/>
  <c r="H65" i="50"/>
  <c r="H65" i="51"/>
  <c r="H65" i="10"/>
  <c r="H64" i="50"/>
  <c r="H64" i="51"/>
  <c r="H64" i="10"/>
  <c r="H63" i="50"/>
  <c r="H63" i="51"/>
  <c r="H63" i="10"/>
  <c r="H62" i="50"/>
  <c r="H62" i="51"/>
  <c r="H62" i="10"/>
  <c r="H60" i="50"/>
  <c r="H60" i="51"/>
  <c r="H60" i="10"/>
  <c r="H59" i="50"/>
  <c r="H59" i="51"/>
  <c r="H59" i="10"/>
  <c r="H58" i="50"/>
  <c r="H58" i="51"/>
  <c r="H58" i="10"/>
  <c r="H57" i="50"/>
  <c r="H57" i="51"/>
  <c r="H57" i="10"/>
  <c r="H56" i="50"/>
  <c r="H56" i="51"/>
  <c r="H56" i="10"/>
  <c r="H55" i="50"/>
  <c r="H55" i="51"/>
  <c r="H55" i="10"/>
  <c r="H54" i="50"/>
  <c r="H54" i="51"/>
  <c r="H54" i="10"/>
  <c r="H53" i="50"/>
  <c r="H53" i="51"/>
  <c r="H53" i="10"/>
  <c r="H52" i="50"/>
  <c r="H52" i="51"/>
  <c r="H52" i="10"/>
  <c r="H51" i="50"/>
  <c r="H51" i="51"/>
  <c r="H51" i="10"/>
  <c r="H50" i="50"/>
  <c r="H50" i="51"/>
  <c r="H50" i="10"/>
  <c r="H49" i="50"/>
  <c r="H49" i="51"/>
  <c r="H49" i="10"/>
  <c r="H48" i="50"/>
  <c r="H48" i="51"/>
  <c r="H48" i="10"/>
  <c r="H46" i="50"/>
  <c r="H46" i="51"/>
  <c r="H46" i="10"/>
  <c r="H45" i="50"/>
  <c r="H45" i="51"/>
  <c r="H45" i="10"/>
  <c r="H44" i="50"/>
  <c r="H44" i="51"/>
  <c r="H44" i="10"/>
  <c r="H43" i="50"/>
  <c r="H43" i="51"/>
  <c r="H43" i="10"/>
  <c r="H42" i="50"/>
  <c r="H42" i="51"/>
  <c r="H42" i="10"/>
  <c r="H41" i="50"/>
  <c r="H41" i="51"/>
  <c r="H41" i="10"/>
  <c r="H40" i="50"/>
  <c r="H40" i="51"/>
  <c r="H40" i="10"/>
  <c r="H39" i="50"/>
  <c r="H39" i="51"/>
  <c r="H39" i="10"/>
  <c r="H38" i="50"/>
  <c r="H38" i="51"/>
  <c r="H38" i="10"/>
  <c r="H37" i="50"/>
  <c r="H37" i="51"/>
  <c r="H37" i="10"/>
  <c r="H36" i="50"/>
  <c r="H36" i="51"/>
  <c r="H36" i="10"/>
  <c r="H34" i="50"/>
  <c r="H34" i="51"/>
  <c r="H34" i="10"/>
  <c r="H33" i="50"/>
  <c r="H33" i="51"/>
  <c r="H33" i="10"/>
  <c r="H29" i="50"/>
  <c r="H29" i="51"/>
  <c r="H29" i="10"/>
  <c r="H28" i="50"/>
  <c r="H28" i="51"/>
  <c r="H28" i="10"/>
  <c r="H27" i="50"/>
  <c r="H27" i="51"/>
  <c r="H27" i="10"/>
  <c r="H26" i="50"/>
  <c r="H26" i="51"/>
  <c r="H26" i="10"/>
  <c r="H25" i="50"/>
  <c r="H25" i="51"/>
  <c r="H25" i="10"/>
  <c r="H24" i="50"/>
  <c r="H24" i="51"/>
  <c r="H24" i="10"/>
  <c r="H23" i="50"/>
  <c r="H23" i="51"/>
  <c r="H23" i="10"/>
  <c r="H22" i="50"/>
  <c r="H22" i="51"/>
  <c r="H22" i="10"/>
  <c r="H21" i="50"/>
  <c r="H21" i="51"/>
  <c r="H21" i="10"/>
  <c r="H20" i="50"/>
  <c r="H20" i="51"/>
  <c r="H20" i="10"/>
  <c r="H19" i="50"/>
  <c r="H19" i="51"/>
  <c r="H19" i="10"/>
  <c r="H16" i="50"/>
  <c r="H16" i="51"/>
  <c r="H16" i="10"/>
  <c r="H15" i="50"/>
  <c r="H15" i="51"/>
  <c r="H15" i="10"/>
  <c r="H14" i="50"/>
  <c r="H14" i="51"/>
  <c r="H14" i="10"/>
  <c r="H13" i="50"/>
  <c r="H13" i="51"/>
  <c r="H13" i="10"/>
  <c r="H12" i="50"/>
  <c r="H12" i="51"/>
  <c r="H12" i="10"/>
  <c r="H11" i="50"/>
  <c r="H11" i="51"/>
  <c r="H11" i="10"/>
  <c r="H10" i="50"/>
  <c r="H10" i="51"/>
  <c r="H10" i="10"/>
  <c r="H9" i="50"/>
  <c r="H9" i="51"/>
  <c r="H9" i="10"/>
  <c r="H8" i="50"/>
  <c r="H8" i="51"/>
  <c r="H8" i="10"/>
  <c r="H7" i="50"/>
  <c r="H7" i="51"/>
  <c r="H7" i="10"/>
  <c r="H6" i="50"/>
  <c r="H6" i="51"/>
  <c r="H6" i="10"/>
  <c r="H5" i="50"/>
  <c r="H5" i="51"/>
  <c r="H5" i="10"/>
  <c r="H4" i="50"/>
  <c r="H4" i="51"/>
  <c r="H4" i="10"/>
  <c r="H3" i="50"/>
  <c r="H3" i="51"/>
  <c r="H3" i="10"/>
  <c r="H2" i="50"/>
  <c r="H2" i="51"/>
  <c r="H2" i="10"/>
  <c r="F88" i="50"/>
  <c r="F88" i="51"/>
  <c r="F88" i="10"/>
  <c r="F87" i="50"/>
  <c r="F87" i="51"/>
  <c r="F87" i="10"/>
  <c r="F85" i="50"/>
  <c r="F85" i="51"/>
  <c r="F85" i="10"/>
  <c r="F84" i="50"/>
  <c r="F84" i="51"/>
  <c r="F84" i="10"/>
  <c r="F82" i="50"/>
  <c r="F82" i="51"/>
  <c r="F82" i="10"/>
  <c r="F81" i="50"/>
  <c r="F81" i="51"/>
  <c r="F81" i="10"/>
  <c r="F80" i="50"/>
  <c r="F80" i="51"/>
  <c r="F80" i="10"/>
  <c r="F79" i="50"/>
  <c r="F79" i="51"/>
  <c r="F79" i="10"/>
  <c r="F78" i="50"/>
  <c r="F78" i="51"/>
  <c r="F78" i="10"/>
  <c r="F77" i="50"/>
  <c r="F77" i="51"/>
  <c r="F77" i="10"/>
  <c r="F75" i="50"/>
  <c r="F75" i="51"/>
  <c r="F75" i="10"/>
  <c r="F74" i="50"/>
  <c r="F74" i="51"/>
  <c r="F74" i="10"/>
  <c r="F73" i="50"/>
  <c r="F73" i="51"/>
  <c r="F73" i="10"/>
  <c r="F69" i="50"/>
  <c r="F69" i="51"/>
  <c r="F69" i="10"/>
  <c r="F68" i="50"/>
  <c r="F68" i="51"/>
  <c r="F68" i="10"/>
  <c r="F67" i="50"/>
  <c r="F67" i="51"/>
  <c r="F67" i="10"/>
  <c r="F66" i="50"/>
  <c r="F66" i="51"/>
  <c r="F66" i="10"/>
  <c r="F65" i="50"/>
  <c r="F65" i="51"/>
  <c r="F65" i="10"/>
  <c r="F64" i="50"/>
  <c r="F64" i="51"/>
  <c r="F64" i="10"/>
  <c r="F63" i="50"/>
  <c r="F63" i="51"/>
  <c r="F63" i="10"/>
  <c r="F62" i="50"/>
  <c r="F62" i="51"/>
  <c r="F62" i="10"/>
  <c r="F60" i="50"/>
  <c r="F60" i="51"/>
  <c r="F60" i="10"/>
  <c r="F59" i="50"/>
  <c r="F59" i="51"/>
  <c r="F59" i="10"/>
  <c r="F58" i="50"/>
  <c r="F58" i="51"/>
  <c r="F58" i="10"/>
  <c r="F57" i="50"/>
  <c r="F57" i="51"/>
  <c r="F57" i="10"/>
  <c r="F56" i="50"/>
  <c r="F56" i="51"/>
  <c r="F56" i="10"/>
  <c r="F55" i="50"/>
  <c r="F55" i="51"/>
  <c r="F55" i="10"/>
  <c r="F54" i="50"/>
  <c r="F54" i="51"/>
  <c r="F54" i="10"/>
  <c r="F53" i="50"/>
  <c r="F53" i="51"/>
  <c r="F53" i="10"/>
  <c r="F52" i="50"/>
  <c r="F52" i="51"/>
  <c r="F52" i="10"/>
  <c r="F51" i="50"/>
  <c r="F51" i="51"/>
  <c r="F51" i="10"/>
  <c r="F50" i="50"/>
  <c r="F50" i="51"/>
  <c r="F50" i="10"/>
  <c r="F49" i="50"/>
  <c r="F49" i="51"/>
  <c r="F49" i="10"/>
  <c r="F48" i="50"/>
  <c r="F48" i="51"/>
  <c r="F48" i="10"/>
  <c r="F46" i="50"/>
  <c r="F46" i="51"/>
  <c r="F46" i="10"/>
  <c r="F45" i="50"/>
  <c r="F45" i="51"/>
  <c r="F45" i="10"/>
  <c r="F44" i="50"/>
  <c r="F44" i="51"/>
  <c r="F44" i="10"/>
  <c r="F43" i="50"/>
  <c r="F43" i="51"/>
  <c r="F43" i="10"/>
  <c r="F42" i="50"/>
  <c r="F42" i="51"/>
  <c r="F42" i="10"/>
  <c r="F41" i="50"/>
  <c r="F41" i="51"/>
  <c r="F41" i="10"/>
  <c r="F40" i="50"/>
  <c r="F40" i="51"/>
  <c r="F40" i="10"/>
  <c r="F39" i="50"/>
  <c r="F39" i="51"/>
  <c r="F39" i="10"/>
  <c r="F38" i="50"/>
  <c r="F38" i="51"/>
  <c r="F38" i="10"/>
  <c r="F37" i="50"/>
  <c r="F37" i="51"/>
  <c r="F37" i="10"/>
  <c r="F36" i="50"/>
  <c r="F36" i="51"/>
  <c r="F36" i="10"/>
  <c r="F34" i="50"/>
  <c r="F34" i="51"/>
  <c r="F34" i="10"/>
  <c r="F33" i="50"/>
  <c r="F33" i="51"/>
  <c r="F33" i="10"/>
  <c r="F29" i="50"/>
  <c r="F29" i="51"/>
  <c r="F29" i="10"/>
  <c r="F28" i="50"/>
  <c r="F28" i="51"/>
  <c r="F28" i="10"/>
  <c r="F27" i="50"/>
  <c r="F27" i="51"/>
  <c r="F27" i="10"/>
  <c r="F26" i="50"/>
  <c r="F26" i="51"/>
  <c r="F26" i="10"/>
  <c r="F25" i="50"/>
  <c r="F25" i="51"/>
  <c r="F25" i="10"/>
  <c r="F24" i="50"/>
  <c r="F24" i="51"/>
  <c r="F24" i="10"/>
  <c r="F23" i="50"/>
  <c r="F23" i="51"/>
  <c r="F23" i="10"/>
  <c r="F22" i="50"/>
  <c r="F22" i="51"/>
  <c r="F22" i="10"/>
  <c r="F21" i="50"/>
  <c r="F21" i="51"/>
  <c r="F21" i="10"/>
  <c r="F20" i="50"/>
  <c r="F20" i="51"/>
  <c r="F20" i="10"/>
  <c r="F19" i="50"/>
  <c r="F19" i="51"/>
  <c r="F19" i="10"/>
  <c r="F16" i="50"/>
  <c r="F16" i="51"/>
  <c r="F16" i="10"/>
  <c r="F15" i="50"/>
  <c r="F15" i="51"/>
  <c r="F15" i="10"/>
  <c r="F14" i="50"/>
  <c r="F14" i="51"/>
  <c r="F14" i="10"/>
  <c r="F13" i="50"/>
  <c r="F13" i="51"/>
  <c r="F13" i="10"/>
  <c r="F12" i="50"/>
  <c r="F12" i="51"/>
  <c r="F12" i="10"/>
  <c r="F11" i="50"/>
  <c r="F11" i="51"/>
  <c r="F11" i="10"/>
  <c r="F10" i="50"/>
  <c r="F10" i="51"/>
  <c r="F10" i="10"/>
  <c r="F9" i="50"/>
  <c r="F9" i="51"/>
  <c r="F9" i="10"/>
  <c r="F8" i="50"/>
  <c r="F8" i="51"/>
  <c r="F8" i="10"/>
  <c r="F7" i="50"/>
  <c r="F7" i="51"/>
  <c r="F7" i="10"/>
  <c r="F6" i="50"/>
  <c r="F6" i="51"/>
  <c r="F6" i="10"/>
  <c r="F5" i="50"/>
  <c r="F5" i="51"/>
  <c r="F5" i="10"/>
  <c r="F4" i="50"/>
  <c r="F4" i="51"/>
  <c r="F4" i="10"/>
  <c r="F3" i="50"/>
  <c r="F3" i="51"/>
  <c r="F3" i="10"/>
  <c r="F2" i="50"/>
  <c r="F2" i="51"/>
  <c r="F2" i="10"/>
  <c r="N61" i="10" l="1"/>
  <c r="BU61" i="10"/>
  <c r="L61" i="50"/>
  <c r="L61" i="51"/>
  <c r="L61" i="10"/>
  <c r="B23" i="97"/>
  <c r="I21" i="55"/>
  <c r="I22" i="55" s="1"/>
  <c r="I23" i="55" s="1"/>
  <c r="I24" i="55" s="1"/>
  <c r="B18" i="55" s="1"/>
  <c r="K19" i="55"/>
  <c r="K18" i="55"/>
  <c r="B16" i="55"/>
  <c r="I21" i="54"/>
  <c r="I22" i="54" s="1"/>
  <c r="I23" i="54" s="1"/>
  <c r="I24" i="54" s="1"/>
  <c r="J19" i="54"/>
  <c r="J18" i="54"/>
  <c r="B16" i="54"/>
  <c r="I19" i="55" l="1"/>
  <c r="I18" i="55"/>
  <c r="B24" i="55"/>
  <c r="B18" i="54"/>
  <c r="B24" i="54"/>
  <c r="B20" i="55" l="1"/>
  <c r="I18" i="54"/>
  <c r="I19" i="54"/>
  <c r="B23" i="55" l="1"/>
  <c r="B22" i="55"/>
  <c r="B20" i="54"/>
  <c r="B22" i="54" l="1"/>
  <c r="B23" i="54"/>
  <c r="B24" i="34" l="1"/>
  <c r="B19" i="34"/>
  <c r="B21" i="34" s="1"/>
  <c r="L10" i="34"/>
  <c r="H10" i="34"/>
  <c r="B16" i="34" s="1"/>
  <c r="B17" i="42"/>
  <c r="C21" i="93"/>
  <c r="B21" i="93"/>
  <c r="B20" i="34" l="1"/>
  <c r="B23" i="34" s="1"/>
  <c r="B19" i="57"/>
  <c r="B16" i="57"/>
  <c r="B22" i="34" l="1"/>
  <c r="H8" i="65"/>
  <c r="F8" i="65"/>
  <c r="E8" i="65"/>
  <c r="D8" i="65"/>
  <c r="C8" i="65"/>
  <c r="B8" i="65"/>
  <c r="H7" i="65"/>
  <c r="F7" i="65"/>
  <c r="E7" i="65"/>
  <c r="D7" i="65"/>
  <c r="C7" i="65"/>
  <c r="B7" i="65"/>
  <c r="K6" i="65"/>
  <c r="J6" i="65"/>
  <c r="I6" i="65"/>
  <c r="G6" i="65"/>
  <c r="H5" i="65"/>
  <c r="H6" i="65" s="1"/>
  <c r="F5" i="65"/>
  <c r="F6" i="65" s="1"/>
  <c r="E5" i="65"/>
  <c r="E6" i="65" s="1"/>
  <c r="D5" i="65"/>
  <c r="D6" i="65" s="1"/>
  <c r="C5" i="65"/>
  <c r="B5" i="65"/>
  <c r="B6" i="65" s="1"/>
  <c r="N64" i="64"/>
  <c r="M64" i="64"/>
  <c r="L64" i="64"/>
  <c r="K64" i="64"/>
  <c r="J64" i="64"/>
  <c r="G40" i="64"/>
  <c r="G39" i="64"/>
  <c r="G38" i="64"/>
  <c r="G37" i="64"/>
  <c r="G36" i="64"/>
  <c r="I35" i="64"/>
  <c r="G35" i="64"/>
  <c r="I34" i="64"/>
  <c r="G34" i="64"/>
  <c r="I33" i="64"/>
  <c r="G33" i="64"/>
  <c r="I32" i="64"/>
  <c r="I64" i="64" s="1"/>
  <c r="G32" i="64"/>
  <c r="I31" i="64"/>
  <c r="G31" i="64"/>
  <c r="G30" i="64"/>
  <c r="G29" i="64"/>
  <c r="G28" i="64"/>
  <c r="G27" i="64"/>
  <c r="G26" i="64"/>
  <c r="G25" i="64"/>
  <c r="G24" i="64"/>
  <c r="G23" i="64"/>
  <c r="G22" i="64"/>
  <c r="G21" i="64"/>
  <c r="G20" i="64"/>
  <c r="G19" i="64"/>
  <c r="G18" i="64"/>
  <c r="G17" i="64"/>
  <c r="G16" i="64"/>
  <c r="G15" i="64"/>
  <c r="E15" i="64"/>
  <c r="E64" i="64" s="1"/>
  <c r="G14" i="64"/>
  <c r="G64" i="64" s="1"/>
  <c r="C12" i="64"/>
  <c r="C11" i="64"/>
  <c r="C10" i="64"/>
  <c r="C9" i="64"/>
  <c r="C64" i="64" s="1"/>
  <c r="C8" i="64"/>
  <c r="C7" i="64"/>
  <c r="B17" i="25"/>
  <c r="L7" i="65" l="1"/>
  <c r="L8" i="65"/>
  <c r="L5" i="65"/>
  <c r="M5" i="65" s="1"/>
  <c r="J65" i="64"/>
  <c r="C6" i="65"/>
  <c r="L6" i="65" s="1"/>
  <c r="D13" i="65" s="1"/>
  <c r="D12" i="65" l="1"/>
  <c r="E58" i="10"/>
  <c r="S45" i="73" l="1"/>
  <c r="M45" i="73"/>
  <c r="L45" i="73"/>
  <c r="H45" i="73"/>
  <c r="B45" i="73"/>
  <c r="S44" i="73"/>
  <c r="M44" i="73"/>
  <c r="L44" i="73"/>
  <c r="H44" i="73"/>
  <c r="B44" i="73"/>
  <c r="S43" i="73"/>
  <c r="M43" i="73"/>
  <c r="L43" i="73"/>
  <c r="H43" i="73"/>
  <c r="B43" i="73"/>
  <c r="S42" i="73"/>
  <c r="M42" i="73"/>
  <c r="L42" i="73"/>
  <c r="H42" i="73"/>
  <c r="B42" i="73"/>
  <c r="S41" i="73"/>
  <c r="M41" i="73"/>
  <c r="L41" i="73"/>
  <c r="H41" i="73"/>
  <c r="B41" i="73"/>
  <c r="S40" i="73"/>
  <c r="M40" i="73"/>
  <c r="L40" i="73"/>
  <c r="H40" i="73"/>
  <c r="B40" i="73"/>
  <c r="S39" i="73"/>
  <c r="M39" i="73"/>
  <c r="L39" i="73"/>
  <c r="H39" i="73"/>
  <c r="B39" i="73"/>
  <c r="S38" i="73"/>
  <c r="M38" i="73"/>
  <c r="L38" i="73"/>
  <c r="H38" i="73"/>
  <c r="B38" i="73"/>
  <c r="S37" i="73"/>
  <c r="M37" i="73"/>
  <c r="L37" i="73"/>
  <c r="H37" i="73"/>
  <c r="B37" i="73"/>
  <c r="S36" i="73"/>
  <c r="M36" i="73"/>
  <c r="L36" i="73"/>
  <c r="H36" i="73"/>
  <c r="B36" i="73"/>
  <c r="S35" i="73"/>
  <c r="M35" i="73"/>
  <c r="L35" i="73"/>
  <c r="H35" i="73"/>
  <c r="B35" i="73"/>
  <c r="S34" i="73"/>
  <c r="M34" i="73"/>
  <c r="L34" i="73"/>
  <c r="H34" i="73"/>
  <c r="B34" i="73"/>
  <c r="S33" i="73"/>
  <c r="M33" i="73"/>
  <c r="L33" i="73"/>
  <c r="H33" i="73"/>
  <c r="B33" i="73"/>
  <c r="S32" i="73"/>
  <c r="M32" i="73"/>
  <c r="L32" i="73"/>
  <c r="H32" i="73"/>
  <c r="B32" i="73"/>
  <c r="S31" i="73"/>
  <c r="M31" i="73"/>
  <c r="L31" i="73"/>
  <c r="H31" i="73"/>
  <c r="B31" i="73"/>
  <c r="S30" i="73"/>
  <c r="M30" i="73"/>
  <c r="L30" i="73"/>
  <c r="H30" i="73"/>
  <c r="B30" i="73"/>
  <c r="S29" i="73"/>
  <c r="M29" i="73"/>
  <c r="L29" i="73"/>
  <c r="H29" i="73"/>
  <c r="B29" i="73"/>
  <c r="S28" i="73"/>
  <c r="M28" i="73"/>
  <c r="L28" i="73"/>
  <c r="H28" i="73"/>
  <c r="B28" i="73"/>
  <c r="S27" i="73"/>
  <c r="M27" i="73"/>
  <c r="L27" i="73"/>
  <c r="H27" i="73"/>
  <c r="B27" i="73"/>
  <c r="S26" i="73"/>
  <c r="M26" i="73"/>
  <c r="L26" i="73"/>
  <c r="H26" i="73"/>
  <c r="B26" i="73"/>
  <c r="S25" i="73"/>
  <c r="M25" i="73"/>
  <c r="L25" i="73"/>
  <c r="H25" i="73"/>
  <c r="B25" i="73"/>
  <c r="S24" i="73"/>
  <c r="M24" i="73"/>
  <c r="L24" i="73"/>
  <c r="H24" i="73"/>
  <c r="B24" i="73"/>
  <c r="S23" i="73"/>
  <c r="M23" i="73"/>
  <c r="L23" i="73"/>
  <c r="H23" i="73"/>
  <c r="B23" i="73"/>
  <c r="S22" i="73"/>
  <c r="M22" i="73"/>
  <c r="L22" i="73"/>
  <c r="H22" i="73"/>
  <c r="B22" i="73"/>
  <c r="S21" i="73"/>
  <c r="M21" i="73"/>
  <c r="L21" i="73"/>
  <c r="H21" i="73"/>
  <c r="B21" i="73"/>
  <c r="S20" i="73"/>
  <c r="M20" i="73"/>
  <c r="L20" i="73"/>
  <c r="H20" i="73"/>
  <c r="B20" i="73"/>
  <c r="S19" i="73"/>
  <c r="M19" i="73"/>
  <c r="L19" i="73"/>
  <c r="H19" i="73"/>
  <c r="B19" i="73"/>
  <c r="S18" i="73"/>
  <c r="M18" i="73"/>
  <c r="L18" i="73"/>
  <c r="H18" i="73"/>
  <c r="B18" i="73"/>
  <c r="S17" i="73"/>
  <c r="M17" i="73"/>
  <c r="L17" i="73"/>
  <c r="H17" i="73"/>
  <c r="B17" i="73"/>
  <c r="S16" i="73"/>
  <c r="M16" i="73"/>
  <c r="L16" i="73"/>
  <c r="H16" i="73"/>
  <c r="B16" i="73"/>
  <c r="S15" i="73"/>
  <c r="M15" i="73"/>
  <c r="L15" i="73"/>
  <c r="H15" i="73"/>
  <c r="B15" i="73"/>
  <c r="S14" i="73"/>
  <c r="M14" i="73"/>
  <c r="L14" i="73"/>
  <c r="H14" i="73"/>
  <c r="B14" i="73"/>
  <c r="S13" i="73"/>
  <c r="M13" i="73"/>
  <c r="L13" i="73"/>
  <c r="H13" i="73"/>
  <c r="B13" i="73"/>
  <c r="S12" i="73"/>
  <c r="M12" i="73"/>
  <c r="L12" i="73"/>
  <c r="H12" i="73"/>
  <c r="B12" i="73"/>
  <c r="S11" i="73"/>
  <c r="M11" i="73"/>
  <c r="L11" i="73"/>
  <c r="H11" i="73"/>
  <c r="B11" i="73"/>
  <c r="S10" i="73"/>
  <c r="M10" i="73"/>
  <c r="L10" i="73"/>
  <c r="H10" i="73"/>
  <c r="B10" i="73"/>
  <c r="S9" i="73"/>
  <c r="M9" i="73"/>
  <c r="L9" i="73"/>
  <c r="H9" i="73"/>
  <c r="B9" i="73"/>
  <c r="S8" i="73"/>
  <c r="M8" i="73"/>
  <c r="L8" i="73"/>
  <c r="H8" i="73"/>
  <c r="B8" i="73"/>
  <c r="S7" i="73"/>
  <c r="M7" i="73"/>
  <c r="L7" i="73"/>
  <c r="H7" i="73"/>
  <c r="B7" i="73"/>
  <c r="S6" i="73"/>
  <c r="M6" i="73"/>
  <c r="L6" i="73"/>
  <c r="H6" i="73"/>
  <c r="B6" i="73"/>
  <c r="S5" i="73"/>
  <c r="M5" i="73"/>
  <c r="L5" i="73"/>
  <c r="H5" i="73"/>
  <c r="B5" i="73"/>
  <c r="S4" i="73"/>
  <c r="M4" i="73"/>
  <c r="L4" i="73"/>
  <c r="H4" i="73"/>
  <c r="B4" i="73"/>
  <c r="O13" i="63"/>
  <c r="N13" i="63"/>
  <c r="M13" i="63"/>
  <c r="D13" i="63"/>
  <c r="L12" i="63"/>
  <c r="K12" i="63"/>
  <c r="K11" i="63"/>
  <c r="E11" i="63"/>
  <c r="D11" i="63" s="1"/>
  <c r="C11" i="63"/>
  <c r="K10" i="63"/>
  <c r="L10" i="63" s="1"/>
  <c r="E10" i="63"/>
  <c r="D10" i="63"/>
  <c r="C10" i="63"/>
  <c r="K9" i="63"/>
  <c r="E9" i="63"/>
  <c r="D9" i="63" s="1"/>
  <c r="C9" i="63"/>
  <c r="K8" i="63"/>
  <c r="E8" i="63"/>
  <c r="E13" i="63" s="1"/>
  <c r="D8" i="63"/>
  <c r="C8" i="63"/>
  <c r="L7" i="63"/>
  <c r="K7" i="63"/>
  <c r="D7" i="63"/>
  <c r="O70" i="62"/>
  <c r="D70" i="62"/>
  <c r="K69" i="62"/>
  <c r="L69" i="62" s="1"/>
  <c r="K68" i="62"/>
  <c r="L68" i="62" s="1"/>
  <c r="K67" i="62"/>
  <c r="L67" i="62" s="1"/>
  <c r="K66" i="62"/>
  <c r="L66" i="62" s="1"/>
  <c r="K65" i="62"/>
  <c r="L65" i="62" s="1"/>
  <c r="K64" i="62"/>
  <c r="L64" i="62" s="1"/>
  <c r="K63" i="62"/>
  <c r="L63" i="62" s="1"/>
  <c r="K62" i="62"/>
  <c r="L62" i="62" s="1"/>
  <c r="K61" i="62"/>
  <c r="L61" i="62" s="1"/>
  <c r="K60" i="62"/>
  <c r="L60" i="62" s="1"/>
  <c r="K59" i="62"/>
  <c r="L59" i="62" s="1"/>
  <c r="K58" i="62"/>
  <c r="L58" i="62" s="1"/>
  <c r="K57" i="62"/>
  <c r="L57" i="62" s="1"/>
  <c r="C57" i="62"/>
  <c r="L56" i="62"/>
  <c r="K56" i="62"/>
  <c r="C56" i="62"/>
  <c r="K55" i="62"/>
  <c r="L55" i="62" s="1"/>
  <c r="C55" i="62"/>
  <c r="L54" i="62"/>
  <c r="K54" i="62"/>
  <c r="C54" i="62"/>
  <c r="K53" i="62"/>
  <c r="L53" i="62" s="1"/>
  <c r="C53" i="62"/>
  <c r="L52" i="62"/>
  <c r="K52" i="62"/>
  <c r="C52" i="62"/>
  <c r="K51" i="62"/>
  <c r="L51" i="62" s="1"/>
  <c r="C51" i="62"/>
  <c r="L50" i="62"/>
  <c r="K50" i="62"/>
  <c r="C50" i="62"/>
  <c r="K49" i="62"/>
  <c r="L49" i="62" s="1"/>
  <c r="C49" i="62"/>
  <c r="L48" i="62"/>
  <c r="K48" i="62"/>
  <c r="C48" i="62"/>
  <c r="K47" i="62"/>
  <c r="L47" i="62" s="1"/>
  <c r="C47" i="62"/>
  <c r="L46" i="62"/>
  <c r="K46" i="62"/>
  <c r="C46" i="62"/>
  <c r="K45" i="62"/>
  <c r="L45" i="62" s="1"/>
  <c r="C45" i="62"/>
  <c r="L44" i="62"/>
  <c r="K44" i="62"/>
  <c r="C44" i="62"/>
  <c r="K43" i="62"/>
  <c r="L43" i="62" s="1"/>
  <c r="C43" i="62"/>
  <c r="L42" i="62"/>
  <c r="K42" i="62"/>
  <c r="C42" i="62"/>
  <c r="K41" i="62"/>
  <c r="L41" i="62" s="1"/>
  <c r="C41" i="62"/>
  <c r="L40" i="62"/>
  <c r="K40" i="62"/>
  <c r="C40" i="62"/>
  <c r="K39" i="62"/>
  <c r="L39" i="62" s="1"/>
  <c r="C39" i="62"/>
  <c r="L38" i="62"/>
  <c r="K38" i="62"/>
  <c r="C38" i="62"/>
  <c r="K37" i="62"/>
  <c r="L37" i="62" s="1"/>
  <c r="C37" i="62"/>
  <c r="L36" i="62"/>
  <c r="K36" i="62"/>
  <c r="C36" i="62"/>
  <c r="K35" i="62"/>
  <c r="L35" i="62" s="1"/>
  <c r="C35" i="62"/>
  <c r="L34" i="62"/>
  <c r="K34" i="62"/>
  <c r="C34" i="62"/>
  <c r="K33" i="62"/>
  <c r="L33" i="62" s="1"/>
  <c r="C33" i="62"/>
  <c r="L32" i="62"/>
  <c r="K32" i="62"/>
  <c r="C32" i="62"/>
  <c r="K31" i="62"/>
  <c r="L31" i="62" s="1"/>
  <c r="C31" i="62"/>
  <c r="L30" i="62"/>
  <c r="K30" i="62"/>
  <c r="C30" i="62"/>
  <c r="K29" i="62"/>
  <c r="L29" i="62" s="1"/>
  <c r="C29" i="62"/>
  <c r="L28" i="62"/>
  <c r="K28" i="62"/>
  <c r="C28" i="62"/>
  <c r="K27" i="62"/>
  <c r="L27" i="62" s="1"/>
  <c r="C27" i="62"/>
  <c r="L26" i="62"/>
  <c r="K26" i="62"/>
  <c r="C26" i="62"/>
  <c r="K25" i="62"/>
  <c r="L25" i="62" s="1"/>
  <c r="C25" i="62"/>
  <c r="L24" i="62"/>
  <c r="K24" i="62"/>
  <c r="C24" i="62"/>
  <c r="K23" i="62"/>
  <c r="L23" i="62" s="1"/>
  <c r="C23" i="62"/>
  <c r="L22" i="62"/>
  <c r="K22" i="62"/>
  <c r="C22" i="62"/>
  <c r="K21" i="62"/>
  <c r="L21" i="62" s="1"/>
  <c r="C21" i="62"/>
  <c r="L20" i="62"/>
  <c r="K20" i="62"/>
  <c r="C20" i="62"/>
  <c r="K19" i="62"/>
  <c r="L19" i="62" s="1"/>
  <c r="C19" i="62"/>
  <c r="L18" i="62"/>
  <c r="K18" i="62"/>
  <c r="C18" i="62"/>
  <c r="K17" i="62"/>
  <c r="L17" i="62" s="1"/>
  <c r="C17" i="62"/>
  <c r="L16" i="62"/>
  <c r="K16" i="62"/>
  <c r="C16" i="62"/>
  <c r="K15" i="62"/>
  <c r="L15" i="62" s="1"/>
  <c r="C15" i="62"/>
  <c r="L14" i="62"/>
  <c r="K14" i="62"/>
  <c r="C14" i="62"/>
  <c r="K13" i="62"/>
  <c r="L13" i="62" s="1"/>
  <c r="C13" i="62"/>
  <c r="L12" i="62"/>
  <c r="K12" i="62"/>
  <c r="C12" i="62"/>
  <c r="K11" i="62"/>
  <c r="L11" i="62" s="1"/>
  <c r="C11" i="62"/>
  <c r="L10" i="62"/>
  <c r="K10" i="62"/>
  <c r="C10" i="62"/>
  <c r="K9" i="62"/>
  <c r="L9" i="62" s="1"/>
  <c r="C9" i="62"/>
  <c r="L8" i="62"/>
  <c r="K8" i="62"/>
  <c r="C8" i="62"/>
  <c r="C70" i="62" s="1"/>
  <c r="K7" i="62"/>
  <c r="L7" i="62" s="1"/>
  <c r="C7" i="62"/>
  <c r="O96" i="61"/>
  <c r="E96" i="61"/>
  <c r="D96" i="61"/>
  <c r="K94" i="61"/>
  <c r="L94" i="61" s="1"/>
  <c r="C94" i="61"/>
  <c r="L93" i="61"/>
  <c r="K93" i="61"/>
  <c r="C93" i="61"/>
  <c r="K92" i="61"/>
  <c r="L92" i="61" s="1"/>
  <c r="C92" i="61"/>
  <c r="L91" i="61"/>
  <c r="K91" i="61"/>
  <c r="C91" i="61"/>
  <c r="K90" i="61"/>
  <c r="L90" i="61" s="1"/>
  <c r="C90" i="61"/>
  <c r="L89" i="61"/>
  <c r="K89" i="61"/>
  <c r="C89" i="61"/>
  <c r="K88" i="61"/>
  <c r="L88" i="61" s="1"/>
  <c r="C88" i="61"/>
  <c r="L87" i="61"/>
  <c r="K87" i="61"/>
  <c r="C87" i="61"/>
  <c r="K86" i="61"/>
  <c r="L86" i="61" s="1"/>
  <c r="C86" i="61"/>
  <c r="L85" i="61"/>
  <c r="K85" i="61"/>
  <c r="C85" i="61"/>
  <c r="K84" i="61"/>
  <c r="L84" i="61" s="1"/>
  <c r="C84" i="61"/>
  <c r="L83" i="61"/>
  <c r="K83" i="61"/>
  <c r="C83" i="61"/>
  <c r="K82" i="61"/>
  <c r="L82" i="61" s="1"/>
  <c r="C82" i="61"/>
  <c r="L81" i="61"/>
  <c r="K81" i="61"/>
  <c r="C81" i="61"/>
  <c r="K80" i="61"/>
  <c r="L80" i="61" s="1"/>
  <c r="C80" i="61"/>
  <c r="L79" i="61"/>
  <c r="K79" i="61"/>
  <c r="C79" i="61"/>
  <c r="K78" i="61"/>
  <c r="L78" i="61" s="1"/>
  <c r="C78" i="61"/>
  <c r="L77" i="61"/>
  <c r="K77" i="61"/>
  <c r="C77" i="61"/>
  <c r="K76" i="61"/>
  <c r="L76" i="61" s="1"/>
  <c r="C76" i="61"/>
  <c r="L75" i="61"/>
  <c r="K75" i="61"/>
  <c r="C75" i="61"/>
  <c r="K74" i="61"/>
  <c r="L74" i="61" s="1"/>
  <c r="C74" i="61"/>
  <c r="L73" i="61"/>
  <c r="K73" i="61"/>
  <c r="C73" i="61"/>
  <c r="K72" i="61"/>
  <c r="L72" i="61" s="1"/>
  <c r="C72" i="61"/>
  <c r="L71" i="61"/>
  <c r="K71" i="61"/>
  <c r="C71" i="61"/>
  <c r="K70" i="61"/>
  <c r="L70" i="61" s="1"/>
  <c r="C70" i="61"/>
  <c r="L69" i="61"/>
  <c r="K69" i="61"/>
  <c r="C69" i="61"/>
  <c r="K68" i="61"/>
  <c r="L68" i="61" s="1"/>
  <c r="C68" i="61"/>
  <c r="L67" i="61"/>
  <c r="K67" i="61"/>
  <c r="C67" i="61"/>
  <c r="K66" i="61"/>
  <c r="L66" i="61" s="1"/>
  <c r="C66" i="61"/>
  <c r="L65" i="61"/>
  <c r="K65" i="61"/>
  <c r="C65" i="61"/>
  <c r="K64" i="61"/>
  <c r="L64" i="61" s="1"/>
  <c r="C64" i="61"/>
  <c r="L63" i="61"/>
  <c r="K63" i="61"/>
  <c r="C63" i="61"/>
  <c r="K62" i="61"/>
  <c r="L62" i="61" s="1"/>
  <c r="C62" i="61"/>
  <c r="L61" i="61"/>
  <c r="K61" i="61"/>
  <c r="C61" i="61"/>
  <c r="K60" i="61"/>
  <c r="L60" i="61" s="1"/>
  <c r="C60" i="61"/>
  <c r="L59" i="61"/>
  <c r="K59" i="61"/>
  <c r="C59" i="61"/>
  <c r="K58" i="61"/>
  <c r="L58" i="61" s="1"/>
  <c r="C58" i="61"/>
  <c r="L57" i="61"/>
  <c r="K57" i="61"/>
  <c r="C57" i="61"/>
  <c r="K56" i="61"/>
  <c r="L56" i="61" s="1"/>
  <c r="C56" i="61"/>
  <c r="L55" i="61"/>
  <c r="K55" i="61"/>
  <c r="C55" i="61"/>
  <c r="K54" i="61"/>
  <c r="L54" i="61" s="1"/>
  <c r="C54" i="61"/>
  <c r="L53" i="61"/>
  <c r="K53" i="61"/>
  <c r="C53" i="61"/>
  <c r="K52" i="61"/>
  <c r="L52" i="61" s="1"/>
  <c r="C52" i="61"/>
  <c r="L51" i="61"/>
  <c r="K51" i="61"/>
  <c r="C51" i="61"/>
  <c r="K50" i="61"/>
  <c r="L50" i="61" s="1"/>
  <c r="C50" i="61"/>
  <c r="L49" i="61"/>
  <c r="K49" i="61"/>
  <c r="C49" i="61"/>
  <c r="K48" i="61"/>
  <c r="L48" i="61" s="1"/>
  <c r="C48" i="61"/>
  <c r="L47" i="61"/>
  <c r="K47" i="61"/>
  <c r="C47" i="61"/>
  <c r="K46" i="61"/>
  <c r="L46" i="61" s="1"/>
  <c r="C46" i="61"/>
  <c r="L45" i="61"/>
  <c r="K45" i="61"/>
  <c r="C45" i="61"/>
  <c r="K44" i="61"/>
  <c r="L44" i="61" s="1"/>
  <c r="C44" i="61"/>
  <c r="L43" i="61"/>
  <c r="K43" i="61"/>
  <c r="C43" i="61"/>
  <c r="K42" i="61"/>
  <c r="L42" i="61" s="1"/>
  <c r="C42" i="61"/>
  <c r="L41" i="61"/>
  <c r="K41" i="61"/>
  <c r="C41" i="61"/>
  <c r="K40" i="61"/>
  <c r="L40" i="61" s="1"/>
  <c r="C40" i="61"/>
  <c r="L39" i="61"/>
  <c r="K39" i="61"/>
  <c r="C39" i="61"/>
  <c r="K38" i="61"/>
  <c r="L38" i="61" s="1"/>
  <c r="C38" i="61"/>
  <c r="L37" i="61"/>
  <c r="K37" i="61"/>
  <c r="C37" i="61"/>
  <c r="K36" i="61"/>
  <c r="L36" i="61" s="1"/>
  <c r="C36" i="61"/>
  <c r="L35" i="61"/>
  <c r="K35" i="61"/>
  <c r="C35" i="61"/>
  <c r="K34" i="61"/>
  <c r="L34" i="61" s="1"/>
  <c r="C34" i="61"/>
  <c r="L33" i="61"/>
  <c r="K33" i="61"/>
  <c r="C33" i="61"/>
  <c r="K32" i="61"/>
  <c r="L32" i="61" s="1"/>
  <c r="C32" i="61"/>
  <c r="L31" i="61"/>
  <c r="K31" i="61"/>
  <c r="C31" i="61"/>
  <c r="K30" i="61"/>
  <c r="L30" i="61" s="1"/>
  <c r="C30" i="61"/>
  <c r="L29" i="61"/>
  <c r="K29" i="61"/>
  <c r="C29" i="61"/>
  <c r="K28" i="61"/>
  <c r="L28" i="61" s="1"/>
  <c r="C28" i="61"/>
  <c r="L27" i="61"/>
  <c r="K27" i="61"/>
  <c r="C27" i="61"/>
  <c r="K26" i="61"/>
  <c r="L26" i="61" s="1"/>
  <c r="C26" i="61"/>
  <c r="L25" i="61"/>
  <c r="K25" i="61"/>
  <c r="C25" i="61"/>
  <c r="K24" i="61"/>
  <c r="L24" i="61" s="1"/>
  <c r="C24" i="61"/>
  <c r="L23" i="61"/>
  <c r="K23" i="61"/>
  <c r="C23" i="61"/>
  <c r="K22" i="61"/>
  <c r="L22" i="61" s="1"/>
  <c r="C22" i="61"/>
  <c r="L21" i="61"/>
  <c r="K21" i="61"/>
  <c r="C21" i="61"/>
  <c r="K20" i="61"/>
  <c r="L20" i="61" s="1"/>
  <c r="C20" i="61"/>
  <c r="L19" i="61"/>
  <c r="K19" i="61"/>
  <c r="C19" i="61"/>
  <c r="K18" i="61"/>
  <c r="L18" i="61" s="1"/>
  <c r="C18" i="61"/>
  <c r="L17" i="61"/>
  <c r="K17" i="61"/>
  <c r="C17" i="61"/>
  <c r="K16" i="61"/>
  <c r="L16" i="61" s="1"/>
  <c r="C16" i="61"/>
  <c r="L15" i="61"/>
  <c r="K15" i="61"/>
  <c r="C15" i="61"/>
  <c r="K14" i="61"/>
  <c r="L14" i="61" s="1"/>
  <c r="C14" i="61"/>
  <c r="L13" i="61"/>
  <c r="K13" i="61"/>
  <c r="C13" i="61"/>
  <c r="K12" i="61"/>
  <c r="L12" i="61" s="1"/>
  <c r="C12" i="61"/>
  <c r="L11" i="61"/>
  <c r="K11" i="61"/>
  <c r="C11" i="61"/>
  <c r="K10" i="61"/>
  <c r="L10" i="61" s="1"/>
  <c r="C10" i="61"/>
  <c r="L9" i="61"/>
  <c r="K9" i="61"/>
  <c r="C9" i="61"/>
  <c r="K8" i="61"/>
  <c r="L8" i="61" s="1"/>
  <c r="C8" i="61"/>
  <c r="L7" i="61"/>
  <c r="L96" i="61" s="1"/>
  <c r="K7" i="61"/>
  <c r="C7" i="61"/>
  <c r="O196" i="60"/>
  <c r="D196" i="60"/>
  <c r="K195" i="60"/>
  <c r="L195" i="60" s="1"/>
  <c r="K194" i="60"/>
  <c r="L194" i="60" s="1"/>
  <c r="C194" i="60"/>
  <c r="L180" i="60"/>
  <c r="K180" i="60"/>
  <c r="C180" i="60"/>
  <c r="K179" i="60"/>
  <c r="L179" i="60" s="1"/>
  <c r="C179" i="60"/>
  <c r="L178" i="60"/>
  <c r="K178" i="60"/>
  <c r="C178" i="60"/>
  <c r="K177" i="60"/>
  <c r="L177" i="60" s="1"/>
  <c r="C177" i="60"/>
  <c r="L176" i="60"/>
  <c r="K176" i="60"/>
  <c r="C176" i="60"/>
  <c r="K175" i="60"/>
  <c r="L175" i="60" s="1"/>
  <c r="C175" i="60"/>
  <c r="L174" i="60"/>
  <c r="K174" i="60"/>
  <c r="C174" i="60"/>
  <c r="K173" i="60"/>
  <c r="L173" i="60" s="1"/>
  <c r="C173" i="60"/>
  <c r="L172" i="60"/>
  <c r="K172" i="60"/>
  <c r="C172" i="60"/>
  <c r="K171" i="60"/>
  <c r="L171" i="60" s="1"/>
  <c r="C171" i="60"/>
  <c r="L170" i="60"/>
  <c r="K170" i="60"/>
  <c r="C170" i="60"/>
  <c r="K169" i="60"/>
  <c r="L169" i="60" s="1"/>
  <c r="C169" i="60"/>
  <c r="L168" i="60"/>
  <c r="K168" i="60"/>
  <c r="C168" i="60"/>
  <c r="K167" i="60"/>
  <c r="L167" i="60" s="1"/>
  <c r="C167" i="60"/>
  <c r="L166" i="60"/>
  <c r="K166" i="60"/>
  <c r="C166" i="60"/>
  <c r="K165" i="60"/>
  <c r="L165" i="60" s="1"/>
  <c r="C165" i="60"/>
  <c r="L164" i="60"/>
  <c r="K164" i="60"/>
  <c r="C164" i="60"/>
  <c r="K163" i="60"/>
  <c r="L163" i="60" s="1"/>
  <c r="C163" i="60"/>
  <c r="L162" i="60"/>
  <c r="K162" i="60"/>
  <c r="C162" i="60"/>
  <c r="K161" i="60"/>
  <c r="L161" i="60" s="1"/>
  <c r="C161" i="60"/>
  <c r="L160" i="60"/>
  <c r="K160" i="60"/>
  <c r="C160" i="60"/>
  <c r="K159" i="60"/>
  <c r="L159" i="60" s="1"/>
  <c r="C159" i="60"/>
  <c r="L158" i="60"/>
  <c r="K158" i="60"/>
  <c r="C158" i="60"/>
  <c r="K157" i="60"/>
  <c r="L157" i="60" s="1"/>
  <c r="C157" i="60"/>
  <c r="L156" i="60"/>
  <c r="K156" i="60"/>
  <c r="C156" i="60"/>
  <c r="K155" i="60"/>
  <c r="L155" i="60" s="1"/>
  <c r="C155" i="60"/>
  <c r="L154" i="60"/>
  <c r="K154" i="60"/>
  <c r="C154" i="60"/>
  <c r="K153" i="60"/>
  <c r="L153" i="60" s="1"/>
  <c r="C153" i="60"/>
  <c r="L152" i="60"/>
  <c r="K152" i="60"/>
  <c r="C152" i="60"/>
  <c r="K151" i="60"/>
  <c r="L151" i="60" s="1"/>
  <c r="C151" i="60"/>
  <c r="L150" i="60"/>
  <c r="K150" i="60"/>
  <c r="C150" i="60"/>
  <c r="K149" i="60"/>
  <c r="L149" i="60" s="1"/>
  <c r="C149" i="60"/>
  <c r="L148" i="60"/>
  <c r="K148" i="60"/>
  <c r="C148" i="60"/>
  <c r="K147" i="60"/>
  <c r="L147" i="60" s="1"/>
  <c r="C147" i="60"/>
  <c r="L146" i="60"/>
  <c r="K146" i="60"/>
  <c r="C146" i="60"/>
  <c r="K145" i="60"/>
  <c r="L145" i="60" s="1"/>
  <c r="C145" i="60"/>
  <c r="L144" i="60"/>
  <c r="K144" i="60"/>
  <c r="C144" i="60"/>
  <c r="K143" i="60"/>
  <c r="L143" i="60" s="1"/>
  <c r="C143" i="60"/>
  <c r="L142" i="60"/>
  <c r="K142" i="60"/>
  <c r="C142" i="60"/>
  <c r="K141" i="60"/>
  <c r="L141" i="60" s="1"/>
  <c r="C141" i="60"/>
  <c r="L140" i="60"/>
  <c r="K140" i="60"/>
  <c r="C140" i="60"/>
  <c r="K139" i="60"/>
  <c r="L139" i="60" s="1"/>
  <c r="C139" i="60"/>
  <c r="L138" i="60"/>
  <c r="K138" i="60"/>
  <c r="C138" i="60"/>
  <c r="K137" i="60"/>
  <c r="L137" i="60" s="1"/>
  <c r="C137" i="60"/>
  <c r="L136" i="60"/>
  <c r="K136" i="60"/>
  <c r="C136" i="60"/>
  <c r="K135" i="60"/>
  <c r="L135" i="60" s="1"/>
  <c r="C135" i="60"/>
  <c r="L134" i="60"/>
  <c r="K134" i="60"/>
  <c r="C134" i="60"/>
  <c r="K133" i="60"/>
  <c r="L133" i="60" s="1"/>
  <c r="C133" i="60"/>
  <c r="L132" i="60"/>
  <c r="K132" i="60"/>
  <c r="C132" i="60"/>
  <c r="K131" i="60"/>
  <c r="L131" i="60" s="1"/>
  <c r="C131" i="60"/>
  <c r="L130" i="60"/>
  <c r="K130" i="60"/>
  <c r="C130" i="60"/>
  <c r="K129" i="60"/>
  <c r="L129" i="60" s="1"/>
  <c r="C129" i="60"/>
  <c r="L128" i="60"/>
  <c r="K128" i="60"/>
  <c r="C128" i="60"/>
  <c r="K127" i="60"/>
  <c r="L127" i="60" s="1"/>
  <c r="C127" i="60"/>
  <c r="L126" i="60"/>
  <c r="K126" i="60"/>
  <c r="C126" i="60"/>
  <c r="K125" i="60"/>
  <c r="L125" i="60" s="1"/>
  <c r="C125" i="60"/>
  <c r="L124" i="60"/>
  <c r="K124" i="60"/>
  <c r="C124" i="60"/>
  <c r="K123" i="60"/>
  <c r="L123" i="60" s="1"/>
  <c r="C123" i="60"/>
  <c r="L122" i="60"/>
  <c r="K122" i="60"/>
  <c r="C122" i="60"/>
  <c r="K121" i="60"/>
  <c r="L121" i="60" s="1"/>
  <c r="C121" i="60"/>
  <c r="L120" i="60"/>
  <c r="K120" i="60"/>
  <c r="C120" i="60"/>
  <c r="K119" i="60"/>
  <c r="L119" i="60" s="1"/>
  <c r="C119" i="60"/>
  <c r="L118" i="60"/>
  <c r="K118" i="60"/>
  <c r="C118" i="60"/>
  <c r="K117" i="60"/>
  <c r="L117" i="60" s="1"/>
  <c r="C117" i="60"/>
  <c r="L116" i="60"/>
  <c r="K116" i="60"/>
  <c r="C116" i="60"/>
  <c r="K115" i="60"/>
  <c r="L115" i="60" s="1"/>
  <c r="C115" i="60"/>
  <c r="L114" i="60"/>
  <c r="K114" i="60"/>
  <c r="C114" i="60"/>
  <c r="K113" i="60"/>
  <c r="L113" i="60" s="1"/>
  <c r="C113" i="60"/>
  <c r="L112" i="60"/>
  <c r="K112" i="60"/>
  <c r="C112" i="60"/>
  <c r="K111" i="60"/>
  <c r="L111" i="60" s="1"/>
  <c r="C111" i="60"/>
  <c r="L110" i="60"/>
  <c r="K110" i="60"/>
  <c r="C110" i="60"/>
  <c r="K109" i="60"/>
  <c r="L109" i="60" s="1"/>
  <c r="C109" i="60"/>
  <c r="L108" i="60"/>
  <c r="K108" i="60"/>
  <c r="C108" i="60"/>
  <c r="K107" i="60"/>
  <c r="L107" i="60" s="1"/>
  <c r="C107" i="60"/>
  <c r="L106" i="60"/>
  <c r="K106" i="60"/>
  <c r="C106" i="60"/>
  <c r="K105" i="60"/>
  <c r="L105" i="60" s="1"/>
  <c r="C105" i="60"/>
  <c r="L104" i="60"/>
  <c r="K104" i="60"/>
  <c r="C104" i="60"/>
  <c r="K103" i="60"/>
  <c r="L103" i="60" s="1"/>
  <c r="C103" i="60"/>
  <c r="L102" i="60"/>
  <c r="K102" i="60"/>
  <c r="C102" i="60"/>
  <c r="K101" i="60"/>
  <c r="L101" i="60" s="1"/>
  <c r="C101" i="60"/>
  <c r="L100" i="60"/>
  <c r="K100" i="60"/>
  <c r="C100" i="60"/>
  <c r="K99" i="60"/>
  <c r="L99" i="60" s="1"/>
  <c r="C99" i="60"/>
  <c r="K98" i="60"/>
  <c r="L98" i="60" s="1"/>
  <c r="C98" i="60"/>
  <c r="L97" i="60"/>
  <c r="K97" i="60"/>
  <c r="C97" i="60"/>
  <c r="K96" i="60"/>
  <c r="L96" i="60" s="1"/>
  <c r="C96" i="60"/>
  <c r="L95" i="60"/>
  <c r="K95" i="60"/>
  <c r="C95" i="60"/>
  <c r="K94" i="60"/>
  <c r="L94" i="60" s="1"/>
  <c r="C94" i="60"/>
  <c r="L93" i="60"/>
  <c r="K93" i="60"/>
  <c r="C93" i="60"/>
  <c r="K92" i="60"/>
  <c r="L92" i="60" s="1"/>
  <c r="C92" i="60"/>
  <c r="L91" i="60"/>
  <c r="K91" i="60"/>
  <c r="C91" i="60"/>
  <c r="K90" i="60"/>
  <c r="L90" i="60" s="1"/>
  <c r="C90" i="60"/>
  <c r="L89" i="60"/>
  <c r="K89" i="60"/>
  <c r="C89" i="60"/>
  <c r="K88" i="60"/>
  <c r="L88" i="60" s="1"/>
  <c r="C88" i="60"/>
  <c r="L87" i="60"/>
  <c r="K87" i="60"/>
  <c r="C87" i="60"/>
  <c r="K86" i="60"/>
  <c r="L86" i="60" s="1"/>
  <c r="C86" i="60"/>
  <c r="L85" i="60"/>
  <c r="K85" i="60"/>
  <c r="C85" i="60"/>
  <c r="K84" i="60"/>
  <c r="L84" i="60" s="1"/>
  <c r="C84" i="60"/>
  <c r="L83" i="60"/>
  <c r="K83" i="60"/>
  <c r="C83" i="60"/>
  <c r="K82" i="60"/>
  <c r="L82" i="60" s="1"/>
  <c r="C82" i="60"/>
  <c r="L81" i="60"/>
  <c r="K81" i="60"/>
  <c r="C81" i="60"/>
  <c r="K80" i="60"/>
  <c r="L80" i="60" s="1"/>
  <c r="C80" i="60"/>
  <c r="L79" i="60"/>
  <c r="K79" i="60"/>
  <c r="C79" i="60"/>
  <c r="K78" i="60"/>
  <c r="L78" i="60" s="1"/>
  <c r="C78" i="60"/>
  <c r="L77" i="60"/>
  <c r="K77" i="60"/>
  <c r="C77" i="60"/>
  <c r="K76" i="60"/>
  <c r="L76" i="60" s="1"/>
  <c r="C76" i="60"/>
  <c r="L75" i="60"/>
  <c r="K75" i="60"/>
  <c r="C75" i="60"/>
  <c r="K74" i="60"/>
  <c r="L74" i="60" s="1"/>
  <c r="C74" i="60"/>
  <c r="L73" i="60"/>
  <c r="K73" i="60"/>
  <c r="C73" i="60"/>
  <c r="K72" i="60"/>
  <c r="L72" i="60" s="1"/>
  <c r="C72" i="60"/>
  <c r="L71" i="60"/>
  <c r="K71" i="60"/>
  <c r="C71" i="60"/>
  <c r="K70" i="60"/>
  <c r="L70" i="60" s="1"/>
  <c r="C70" i="60"/>
  <c r="L69" i="60"/>
  <c r="K69" i="60"/>
  <c r="C69" i="60"/>
  <c r="K68" i="60"/>
  <c r="L68" i="60" s="1"/>
  <c r="C68" i="60"/>
  <c r="L67" i="60"/>
  <c r="K67" i="60"/>
  <c r="C67" i="60"/>
  <c r="K66" i="60"/>
  <c r="L66" i="60" s="1"/>
  <c r="C66" i="60"/>
  <c r="L65" i="60"/>
  <c r="K65" i="60"/>
  <c r="C65" i="60"/>
  <c r="K64" i="60"/>
  <c r="L64" i="60" s="1"/>
  <c r="C64" i="60"/>
  <c r="L63" i="60"/>
  <c r="K63" i="60"/>
  <c r="C63" i="60"/>
  <c r="K62" i="60"/>
  <c r="L62" i="60" s="1"/>
  <c r="C62" i="60"/>
  <c r="L61" i="60"/>
  <c r="K61" i="60"/>
  <c r="C61" i="60"/>
  <c r="K60" i="60"/>
  <c r="L60" i="60" s="1"/>
  <c r="C60" i="60"/>
  <c r="L59" i="60"/>
  <c r="K59" i="60"/>
  <c r="C59" i="60"/>
  <c r="K58" i="60"/>
  <c r="L58" i="60" s="1"/>
  <c r="C58" i="60"/>
  <c r="L57" i="60"/>
  <c r="K57" i="60"/>
  <c r="C57" i="60"/>
  <c r="K56" i="60"/>
  <c r="L56" i="60" s="1"/>
  <c r="C56" i="60"/>
  <c r="L55" i="60"/>
  <c r="K55" i="60"/>
  <c r="C55" i="60"/>
  <c r="K54" i="60"/>
  <c r="L54" i="60" s="1"/>
  <c r="C54" i="60"/>
  <c r="L53" i="60"/>
  <c r="K53" i="60"/>
  <c r="C53" i="60"/>
  <c r="K52" i="60"/>
  <c r="L52" i="60" s="1"/>
  <c r="C52" i="60"/>
  <c r="L51" i="60"/>
  <c r="K51" i="60"/>
  <c r="C51" i="60"/>
  <c r="K50" i="60"/>
  <c r="L50" i="60" s="1"/>
  <c r="C50" i="60"/>
  <c r="L49" i="60"/>
  <c r="K49" i="60"/>
  <c r="C49" i="60"/>
  <c r="K48" i="60"/>
  <c r="L48" i="60" s="1"/>
  <c r="C48" i="60"/>
  <c r="L47" i="60"/>
  <c r="K47" i="60"/>
  <c r="C47" i="60"/>
  <c r="K46" i="60"/>
  <c r="L46" i="60" s="1"/>
  <c r="C46" i="60"/>
  <c r="L45" i="60"/>
  <c r="K45" i="60"/>
  <c r="C45" i="60"/>
  <c r="K44" i="60"/>
  <c r="L44" i="60" s="1"/>
  <c r="C44" i="60"/>
  <c r="L43" i="60"/>
  <c r="K43" i="60"/>
  <c r="C43" i="60"/>
  <c r="K42" i="60"/>
  <c r="L42" i="60" s="1"/>
  <c r="C42" i="60"/>
  <c r="L41" i="60"/>
  <c r="K41" i="60"/>
  <c r="C41" i="60"/>
  <c r="K40" i="60"/>
  <c r="L40" i="60" s="1"/>
  <c r="C40" i="60"/>
  <c r="L39" i="60"/>
  <c r="K39" i="60"/>
  <c r="C39" i="60"/>
  <c r="K38" i="60"/>
  <c r="L38" i="60" s="1"/>
  <c r="C38" i="60"/>
  <c r="L37" i="60"/>
  <c r="K37" i="60"/>
  <c r="C37" i="60"/>
  <c r="K36" i="60"/>
  <c r="L36" i="60" s="1"/>
  <c r="C36" i="60"/>
  <c r="L35" i="60"/>
  <c r="K35" i="60"/>
  <c r="C35" i="60"/>
  <c r="K34" i="60"/>
  <c r="L34" i="60" s="1"/>
  <c r="C34" i="60"/>
  <c r="L33" i="60"/>
  <c r="K33" i="60"/>
  <c r="C33" i="60"/>
  <c r="K32" i="60"/>
  <c r="L32" i="60" s="1"/>
  <c r="C32" i="60"/>
  <c r="L31" i="60"/>
  <c r="K31" i="60"/>
  <c r="C31" i="60"/>
  <c r="K30" i="60"/>
  <c r="L30" i="60" s="1"/>
  <c r="C30" i="60"/>
  <c r="L29" i="60"/>
  <c r="K29" i="60"/>
  <c r="C29" i="60"/>
  <c r="K28" i="60"/>
  <c r="L28" i="60" s="1"/>
  <c r="C28" i="60"/>
  <c r="L27" i="60"/>
  <c r="K27" i="60"/>
  <c r="C27" i="60"/>
  <c r="K26" i="60"/>
  <c r="L26" i="60" s="1"/>
  <c r="C26" i="60"/>
  <c r="L25" i="60"/>
  <c r="K25" i="60"/>
  <c r="C25" i="60"/>
  <c r="K24" i="60"/>
  <c r="L24" i="60" s="1"/>
  <c r="C24" i="60"/>
  <c r="L23" i="60"/>
  <c r="K23" i="60"/>
  <c r="C23" i="60"/>
  <c r="K22" i="60"/>
  <c r="L22" i="60" s="1"/>
  <c r="C22" i="60"/>
  <c r="L21" i="60"/>
  <c r="K21" i="60"/>
  <c r="C21" i="60"/>
  <c r="K20" i="60"/>
  <c r="L20" i="60" s="1"/>
  <c r="C20" i="60"/>
  <c r="L19" i="60"/>
  <c r="K19" i="60"/>
  <c r="C19" i="60"/>
  <c r="K18" i="60"/>
  <c r="L18" i="60" s="1"/>
  <c r="C18" i="60"/>
  <c r="L17" i="60"/>
  <c r="K17" i="60"/>
  <c r="C17" i="60"/>
  <c r="K16" i="60"/>
  <c r="L16" i="60" s="1"/>
  <c r="C16" i="60"/>
  <c r="L15" i="60"/>
  <c r="K15" i="60"/>
  <c r="C15" i="60"/>
  <c r="K14" i="60"/>
  <c r="L14" i="60" s="1"/>
  <c r="C14" i="60"/>
  <c r="L13" i="60"/>
  <c r="K13" i="60"/>
  <c r="C13" i="60"/>
  <c r="K12" i="60"/>
  <c r="L12" i="60" s="1"/>
  <c r="C12" i="60"/>
  <c r="L11" i="60"/>
  <c r="K11" i="60"/>
  <c r="C11" i="60"/>
  <c r="K10" i="60"/>
  <c r="L10" i="60" s="1"/>
  <c r="C10" i="60"/>
  <c r="L9" i="60"/>
  <c r="K9" i="60"/>
  <c r="C9" i="60"/>
  <c r="K8" i="60"/>
  <c r="L8" i="60" s="1"/>
  <c r="L196" i="60" s="1"/>
  <c r="C8" i="60"/>
  <c r="L7" i="60"/>
  <c r="K7" i="60"/>
  <c r="C7" i="60"/>
  <c r="C196" i="60" s="1"/>
  <c r="B22" i="87"/>
  <c r="B19" i="87"/>
  <c r="B24" i="87" s="1"/>
  <c r="B17" i="87"/>
  <c r="B23" i="87" s="1"/>
  <c r="L88" i="51" s="1"/>
  <c r="B16" i="69"/>
  <c r="I14" i="69"/>
  <c r="I10" i="69" s="1"/>
  <c r="B19" i="69" s="1"/>
  <c r="H14" i="69"/>
  <c r="E40" i="90"/>
  <c r="B24" i="90"/>
  <c r="B23" i="90"/>
  <c r="L85" i="50" s="1"/>
  <c r="B22" i="90"/>
  <c r="B17" i="90"/>
  <c r="B16" i="90"/>
  <c r="E40" i="70"/>
  <c r="B24" i="70"/>
  <c r="M84" i="10" s="1"/>
  <c r="B16" i="70"/>
  <c r="B22" i="70" s="1"/>
  <c r="E40" i="71"/>
  <c r="B16" i="71"/>
  <c r="G82" i="10" s="1"/>
  <c r="I13" i="71"/>
  <c r="J13" i="71" s="1"/>
  <c r="I10" i="71"/>
  <c r="J10" i="71" s="1"/>
  <c r="B19" i="71" s="1"/>
  <c r="B24" i="71" s="1"/>
  <c r="B24" i="86"/>
  <c r="B22" i="86"/>
  <c r="B19" i="86"/>
  <c r="B20" i="86" s="1"/>
  <c r="B17" i="86"/>
  <c r="B23" i="86" s="1"/>
  <c r="L81" i="51" s="1"/>
  <c r="K14" i="86"/>
  <c r="G14" i="86"/>
  <c r="B20" i="85"/>
  <c r="B19" i="85"/>
  <c r="B24" i="85" s="1"/>
  <c r="B17" i="85"/>
  <c r="B23" i="85" s="1"/>
  <c r="B16" i="85"/>
  <c r="B22" i="85" s="1"/>
  <c r="K14" i="85"/>
  <c r="G14" i="85"/>
  <c r="B20" i="84"/>
  <c r="B19" i="84"/>
  <c r="B24" i="84" s="1"/>
  <c r="B16" i="84"/>
  <c r="K14" i="84"/>
  <c r="G14" i="84"/>
  <c r="B19" i="83"/>
  <c r="B16" i="83"/>
  <c r="K14" i="83"/>
  <c r="G14" i="83"/>
  <c r="E40" i="72"/>
  <c r="B19" i="72"/>
  <c r="B16" i="72"/>
  <c r="K14" i="72"/>
  <c r="G14" i="72"/>
  <c r="E40" i="57"/>
  <c r="I14" i="57"/>
  <c r="L74" i="50"/>
  <c r="L73" i="51"/>
  <c r="E40" i="55"/>
  <c r="E40" i="54"/>
  <c r="E40" i="88"/>
  <c r="B23" i="88"/>
  <c r="B22" i="88"/>
  <c r="B18" i="88"/>
  <c r="B24" i="88" s="1"/>
  <c r="E40" i="46"/>
  <c r="B23" i="46"/>
  <c r="L66" i="51" s="1"/>
  <c r="B22" i="46"/>
  <c r="B18" i="46"/>
  <c r="B24" i="46" s="1"/>
  <c r="H14" i="46"/>
  <c r="H15" i="46" s="1"/>
  <c r="E40" i="45"/>
  <c r="B20" i="45"/>
  <c r="B16" i="45"/>
  <c r="H13" i="45"/>
  <c r="B18" i="45" s="1"/>
  <c r="B24" i="45" s="1"/>
  <c r="E40" i="44"/>
  <c r="B19" i="44"/>
  <c r="B21" i="44" s="1"/>
  <c r="B16" i="44"/>
  <c r="G64" i="10" s="1"/>
  <c r="E40" i="43"/>
  <c r="B20" i="43"/>
  <c r="B19" i="43"/>
  <c r="B21" i="43" s="1"/>
  <c r="B18" i="43"/>
  <c r="B16" i="43"/>
  <c r="M10" i="43"/>
  <c r="L10" i="43"/>
  <c r="B24" i="43" s="1"/>
  <c r="G10" i="43"/>
  <c r="E40" i="42"/>
  <c r="B18" i="42"/>
  <c r="B20" i="42" s="1"/>
  <c r="B16" i="42"/>
  <c r="G14" i="42"/>
  <c r="E40" i="41"/>
  <c r="B24" i="41"/>
  <c r="B19" i="41"/>
  <c r="B18" i="41"/>
  <c r="B20" i="41" s="1"/>
  <c r="B22" i="41" s="1"/>
  <c r="B17" i="41"/>
  <c r="E40" i="40"/>
  <c r="B24" i="40"/>
  <c r="B19" i="40"/>
  <c r="B18" i="40"/>
  <c r="G25" i="40" s="1"/>
  <c r="B17" i="40"/>
  <c r="K14" i="40"/>
  <c r="E40" i="39"/>
  <c r="B19" i="39"/>
  <c r="E40" i="38"/>
  <c r="B21" i="38"/>
  <c r="B19" i="38"/>
  <c r="B18" i="38" s="1"/>
  <c r="H14" i="38"/>
  <c r="G14" i="38"/>
  <c r="E40" i="37"/>
  <c r="B19" i="37"/>
  <c r="B24" i="37" s="1"/>
  <c r="B18" i="37"/>
  <c r="B20" i="37" s="1"/>
  <c r="B23" i="37" s="1"/>
  <c r="B17" i="37"/>
  <c r="B16" i="37"/>
  <c r="E40" i="35"/>
  <c r="B19" i="35"/>
  <c r="B24" i="35" s="1"/>
  <c r="M55" i="10" s="1"/>
  <c r="B16" i="35"/>
  <c r="B17" i="35" s="1"/>
  <c r="E40" i="34"/>
  <c r="I16" i="34"/>
  <c r="I19" i="34" s="1"/>
  <c r="E40" i="33"/>
  <c r="B24" i="33"/>
  <c r="B21" i="33"/>
  <c r="B20" i="33"/>
  <c r="B19" i="33"/>
  <c r="L10" i="33"/>
  <c r="H10" i="33"/>
  <c r="B16" i="33" s="1"/>
  <c r="E40" i="32"/>
  <c r="B24" i="32"/>
  <c r="B21" i="32"/>
  <c r="B20" i="32"/>
  <c r="B19" i="32"/>
  <c r="B16" i="32"/>
  <c r="B23" i="32" s="1"/>
  <c r="L52" i="51" s="1"/>
  <c r="L10" i="32"/>
  <c r="H10" i="32"/>
  <c r="E40" i="31"/>
  <c r="B24" i="31"/>
  <c r="B20" i="31"/>
  <c r="B19" i="31"/>
  <c r="B21" i="31" s="1"/>
  <c r="L10" i="31"/>
  <c r="I16" i="31" s="1"/>
  <c r="I19" i="31" s="1"/>
  <c r="B17" i="31" s="1"/>
  <c r="H10" i="31"/>
  <c r="E40" i="29"/>
  <c r="B21" i="29"/>
  <c r="K50" i="51" s="1"/>
  <c r="I19" i="29"/>
  <c r="B17" i="29" s="1"/>
  <c r="B19" i="29"/>
  <c r="B24" i="29" s="1"/>
  <c r="B16" i="29"/>
  <c r="G50" i="10" s="1"/>
  <c r="M10" i="29"/>
  <c r="I16" i="29" s="1"/>
  <c r="E40" i="28"/>
  <c r="B17" i="28"/>
  <c r="B16" i="28"/>
  <c r="J10" i="28"/>
  <c r="H10" i="28" s="1"/>
  <c r="B18" i="28" s="1"/>
  <c r="B24" i="28" s="1"/>
  <c r="M49" i="10" s="1"/>
  <c r="E40" i="27"/>
  <c r="B20" i="27"/>
  <c r="B23" i="27" s="1"/>
  <c r="B16" i="27"/>
  <c r="J10" i="27"/>
  <c r="H10" i="27"/>
  <c r="B18" i="27" s="1"/>
  <c r="B24" i="27" s="1"/>
  <c r="E40" i="26"/>
  <c r="B24" i="26"/>
  <c r="B22" i="26"/>
  <c r="B19" i="26"/>
  <c r="M46" i="51" s="1"/>
  <c r="B18" i="26"/>
  <c r="B20" i="26" s="1"/>
  <c r="B16" i="26"/>
  <c r="E40" i="25"/>
  <c r="B20" i="25"/>
  <c r="B19" i="25"/>
  <c r="B18" i="25"/>
  <c r="B24" i="25" s="1"/>
  <c r="H10" i="25"/>
  <c r="E40" i="80"/>
  <c r="I20" i="80"/>
  <c r="I19" i="80"/>
  <c r="I21" i="80" s="1"/>
  <c r="H12" i="80"/>
  <c r="H10" i="80" s="1"/>
  <c r="G10" i="80"/>
  <c r="B17" i="80" s="1"/>
  <c r="E40" i="24"/>
  <c r="I20" i="24"/>
  <c r="I19" i="24"/>
  <c r="B16" i="24"/>
  <c r="H12" i="24"/>
  <c r="H10" i="24"/>
  <c r="G10" i="24"/>
  <c r="E40" i="58"/>
  <c r="I20" i="58"/>
  <c r="I19" i="58"/>
  <c r="I21" i="58" s="1"/>
  <c r="H12" i="58"/>
  <c r="H10" i="58" s="1"/>
  <c r="G10" i="58"/>
  <c r="E40" i="59"/>
  <c r="I20" i="59"/>
  <c r="I19" i="59"/>
  <c r="K21" i="59" s="1"/>
  <c r="B17" i="59"/>
  <c r="H12" i="59"/>
  <c r="H10" i="59" s="1"/>
  <c r="B18" i="59" s="1"/>
  <c r="G10" i="59"/>
  <c r="B16" i="59" s="1"/>
  <c r="E40" i="66"/>
  <c r="I21" i="66"/>
  <c r="I20" i="66"/>
  <c r="K21" i="66" s="1"/>
  <c r="I19" i="66"/>
  <c r="B17" i="66"/>
  <c r="H12" i="66"/>
  <c r="H10" i="66"/>
  <c r="B18" i="66" s="1"/>
  <c r="G10" i="66"/>
  <c r="B16" i="66" s="1"/>
  <c r="E40" i="23"/>
  <c r="J39" i="51"/>
  <c r="M39" i="10"/>
  <c r="B17" i="23"/>
  <c r="J38" i="51"/>
  <c r="H10" i="22"/>
  <c r="B19" i="22" s="1"/>
  <c r="M38" i="51" s="1"/>
  <c r="B23" i="21"/>
  <c r="B22" i="21"/>
  <c r="B20" i="21"/>
  <c r="B18" i="21"/>
  <c r="B24" i="21" s="1"/>
  <c r="H10" i="21"/>
  <c r="B19" i="21" s="1"/>
  <c r="B24" i="20"/>
  <c r="B20" i="20"/>
  <c r="B18" i="20"/>
  <c r="G19" i="67"/>
  <c r="B19" i="67" s="1"/>
  <c r="H18" i="67"/>
  <c r="G18" i="67"/>
  <c r="B18" i="67" s="1"/>
  <c r="H17" i="67"/>
  <c r="B17" i="67" s="1"/>
  <c r="I34" i="10" s="1"/>
  <c r="H16" i="67"/>
  <c r="B16" i="67" s="1"/>
  <c r="G34" i="50" s="1"/>
  <c r="B22" i="19"/>
  <c r="B20" i="19"/>
  <c r="H10" i="19"/>
  <c r="B18" i="19" s="1"/>
  <c r="B24" i="19" s="1"/>
  <c r="B20" i="18"/>
  <c r="H10" i="18"/>
  <c r="B18" i="18" s="1"/>
  <c r="B24" i="18" s="1"/>
  <c r="B22" i="91"/>
  <c r="B21" i="91"/>
  <c r="B20" i="91"/>
  <c r="B19" i="91"/>
  <c r="B24" i="91" s="1"/>
  <c r="B17" i="91"/>
  <c r="I28" i="50" s="1"/>
  <c r="B19" i="79"/>
  <c r="B24" i="78"/>
  <c r="B19" i="78"/>
  <c r="B17" i="78"/>
  <c r="I26" i="10" s="1"/>
  <c r="B24" i="30"/>
  <c r="B22" i="30"/>
  <c r="B21" i="30"/>
  <c r="B20" i="30"/>
  <c r="B17" i="30"/>
  <c r="I25" i="51" s="1"/>
  <c r="B24" i="17"/>
  <c r="B23" i="17"/>
  <c r="B22" i="17"/>
  <c r="B21" i="17"/>
  <c r="B20" i="17"/>
  <c r="B19" i="17"/>
  <c r="E40" i="92"/>
  <c r="B16" i="92"/>
  <c r="H10" i="92"/>
  <c r="K23" i="10" s="1"/>
  <c r="E40" i="75"/>
  <c r="B16" i="75"/>
  <c r="H10" i="75"/>
  <c r="K22" i="51" s="1"/>
  <c r="E40" i="68"/>
  <c r="B22" i="68"/>
  <c r="B16" i="68"/>
  <c r="H10" i="68"/>
  <c r="B19" i="16"/>
  <c r="B24" i="16" s="1"/>
  <c r="B16" i="16"/>
  <c r="B23" i="16" s="1"/>
  <c r="L20" i="50" s="1"/>
  <c r="H10" i="16"/>
  <c r="B24" i="15"/>
  <c r="B20" i="15"/>
  <c r="B19" i="15"/>
  <c r="B18" i="15"/>
  <c r="B17" i="15"/>
  <c r="B16" i="15"/>
  <c r="E40" i="81"/>
  <c r="B24" i="81"/>
  <c r="B23" i="81"/>
  <c r="B22" i="81"/>
  <c r="M7" i="81"/>
  <c r="M6" i="81"/>
  <c r="E40" i="82"/>
  <c r="B24" i="82"/>
  <c r="B23" i="82"/>
  <c r="B22" i="82"/>
  <c r="M7" i="82"/>
  <c r="M6" i="82"/>
  <c r="E40" i="77"/>
  <c r="B24" i="77"/>
  <c r="B23" i="77"/>
  <c r="B22" i="77"/>
  <c r="M7" i="77"/>
  <c r="M6" i="77"/>
  <c r="E40" i="76"/>
  <c r="B23" i="76"/>
  <c r="B22" i="76"/>
  <c r="M7" i="76"/>
  <c r="M6" i="76"/>
  <c r="E40" i="14"/>
  <c r="B24" i="14"/>
  <c r="B23" i="14"/>
  <c r="B22" i="14"/>
  <c r="B16" i="14"/>
  <c r="M7" i="14"/>
  <c r="M6" i="14"/>
  <c r="E40" i="13"/>
  <c r="M24" i="13"/>
  <c r="B24" i="13"/>
  <c r="M23" i="13"/>
  <c r="B23" i="13"/>
  <c r="M22" i="13"/>
  <c r="B22" i="13"/>
  <c r="M21" i="13"/>
  <c r="H21" i="13"/>
  <c r="N21" i="13" s="1"/>
  <c r="M20" i="13"/>
  <c r="M18" i="13"/>
  <c r="M17" i="13"/>
  <c r="M16" i="13"/>
  <c r="M15" i="13"/>
  <c r="M14" i="13"/>
  <c r="M13" i="13"/>
  <c r="M12" i="13"/>
  <c r="M11" i="13"/>
  <c r="M10" i="13"/>
  <c r="M9" i="13"/>
  <c r="M8" i="13"/>
  <c r="M25" i="13" s="1"/>
  <c r="M7" i="13"/>
  <c r="M6" i="13"/>
  <c r="E40" i="12"/>
  <c r="B24" i="12"/>
  <c r="B23" i="12"/>
  <c r="L10" i="50" s="1"/>
  <c r="B22" i="12"/>
  <c r="E40" i="7"/>
  <c r="M24" i="7"/>
  <c r="B24" i="7"/>
  <c r="M23" i="7"/>
  <c r="B23" i="7"/>
  <c r="M22" i="7"/>
  <c r="B22" i="7"/>
  <c r="M21" i="7"/>
  <c r="M20" i="7"/>
  <c r="M18" i="7"/>
  <c r="M17" i="7"/>
  <c r="M16" i="7"/>
  <c r="M15" i="7"/>
  <c r="M14" i="7"/>
  <c r="M13" i="7"/>
  <c r="M12" i="7"/>
  <c r="M11" i="7"/>
  <c r="M10" i="7"/>
  <c r="M9" i="7"/>
  <c r="M8" i="7"/>
  <c r="M7" i="7"/>
  <c r="M6" i="7"/>
  <c r="E40" i="11"/>
  <c r="H11" i="11"/>
  <c r="B18" i="11" s="1"/>
  <c r="M6" i="11"/>
  <c r="E40" i="6"/>
  <c r="B18" i="6"/>
  <c r="B20" i="6" s="1"/>
  <c r="J8" i="10" s="1"/>
  <c r="L13" i="6"/>
  <c r="L12" i="6"/>
  <c r="H11" i="6"/>
  <c r="E40" i="5"/>
  <c r="B24" i="5"/>
  <c r="B23" i="5"/>
  <c r="B22" i="5"/>
  <c r="B23" i="3"/>
  <c r="L5" i="51" s="1"/>
  <c r="B22" i="3"/>
  <c r="B19" i="3"/>
  <c r="B24" i="3" s="1"/>
  <c r="E40" i="1"/>
  <c r="B24" i="1"/>
  <c r="B23" i="1"/>
  <c r="L4" i="51" s="1"/>
  <c r="B22" i="1"/>
  <c r="E40" i="48"/>
  <c r="B23" i="48"/>
  <c r="B22" i="48"/>
  <c r="B19" i="48"/>
  <c r="B24" i="48" s="1"/>
  <c r="B24" i="36"/>
  <c r="B23" i="36"/>
  <c r="L2" i="51" s="1"/>
  <c r="B16" i="36"/>
  <c r="B22" i="36" s="1"/>
  <c r="X90" i="51"/>
  <c r="W90" i="51"/>
  <c r="V90" i="51"/>
  <c r="U90" i="51"/>
  <c r="T90" i="51"/>
  <c r="S90" i="51"/>
  <c r="R90" i="51"/>
  <c r="X89" i="51"/>
  <c r="W89" i="51"/>
  <c r="V89" i="51"/>
  <c r="U89" i="51"/>
  <c r="T89" i="51"/>
  <c r="S89" i="51"/>
  <c r="P89" i="51"/>
  <c r="O89" i="51"/>
  <c r="P88" i="51"/>
  <c r="O88" i="51"/>
  <c r="M88" i="51"/>
  <c r="K88" i="51"/>
  <c r="J88" i="51"/>
  <c r="G88" i="51"/>
  <c r="E88" i="51"/>
  <c r="D88" i="51"/>
  <c r="C88" i="51"/>
  <c r="B88" i="51"/>
  <c r="P87" i="51"/>
  <c r="O87" i="51"/>
  <c r="M87" i="51"/>
  <c r="G87" i="51"/>
  <c r="E87" i="51"/>
  <c r="D87" i="51"/>
  <c r="V87" i="51" s="1"/>
  <c r="C87" i="51"/>
  <c r="B87" i="51"/>
  <c r="P85" i="51"/>
  <c r="O85" i="51"/>
  <c r="M85" i="51"/>
  <c r="L85" i="51"/>
  <c r="K85" i="51"/>
  <c r="J85" i="51"/>
  <c r="I85" i="51"/>
  <c r="G85" i="51"/>
  <c r="E85" i="51"/>
  <c r="D85" i="51"/>
  <c r="T85" i="51" s="1"/>
  <c r="C85" i="51"/>
  <c r="B85" i="51"/>
  <c r="P84" i="51"/>
  <c r="O84" i="51"/>
  <c r="M84" i="51"/>
  <c r="K84" i="51"/>
  <c r="J84" i="51"/>
  <c r="E84" i="51"/>
  <c r="D84" i="51"/>
  <c r="C84" i="51"/>
  <c r="B84" i="51"/>
  <c r="P82" i="51"/>
  <c r="O82" i="51"/>
  <c r="K82" i="51"/>
  <c r="J82" i="51"/>
  <c r="E82" i="51"/>
  <c r="D82" i="51"/>
  <c r="U82" i="51" s="1"/>
  <c r="C82" i="51"/>
  <c r="B82" i="51"/>
  <c r="P81" i="51"/>
  <c r="O81" i="51"/>
  <c r="M81" i="51"/>
  <c r="K81" i="51"/>
  <c r="J81" i="51"/>
  <c r="I81" i="51"/>
  <c r="G81" i="51"/>
  <c r="E81" i="51"/>
  <c r="D81" i="51"/>
  <c r="W81" i="51" s="1"/>
  <c r="C81" i="51"/>
  <c r="B81" i="51"/>
  <c r="P80" i="51"/>
  <c r="O80" i="51"/>
  <c r="M80" i="51"/>
  <c r="K80" i="51"/>
  <c r="J80" i="51"/>
  <c r="I80" i="51"/>
  <c r="G80" i="51"/>
  <c r="E80" i="51"/>
  <c r="D80" i="51"/>
  <c r="T80" i="51" s="1"/>
  <c r="C80" i="51"/>
  <c r="B80" i="51"/>
  <c r="P79" i="51"/>
  <c r="O79" i="51"/>
  <c r="Q79" i="51" s="1"/>
  <c r="M79" i="51"/>
  <c r="K79" i="51"/>
  <c r="I79" i="51"/>
  <c r="G79" i="51"/>
  <c r="E79" i="51"/>
  <c r="D79" i="51"/>
  <c r="C79" i="51"/>
  <c r="B79" i="51"/>
  <c r="P78" i="51"/>
  <c r="O78" i="51"/>
  <c r="Q78" i="51" s="1"/>
  <c r="M78" i="51"/>
  <c r="K78" i="51"/>
  <c r="I78" i="51"/>
  <c r="G78" i="51"/>
  <c r="E78" i="51"/>
  <c r="D78" i="51"/>
  <c r="C78" i="51"/>
  <c r="B78" i="51"/>
  <c r="P77" i="51"/>
  <c r="O77" i="51"/>
  <c r="M77" i="51"/>
  <c r="K77" i="51"/>
  <c r="I77" i="51"/>
  <c r="G77" i="51"/>
  <c r="E77" i="51"/>
  <c r="D77" i="51"/>
  <c r="V77" i="51" s="1"/>
  <c r="C77" i="51"/>
  <c r="B77" i="51"/>
  <c r="P75" i="51"/>
  <c r="O75" i="51"/>
  <c r="Q75" i="51" s="1"/>
  <c r="M75" i="51"/>
  <c r="K75" i="51"/>
  <c r="I75" i="51"/>
  <c r="G75" i="51"/>
  <c r="E75" i="51"/>
  <c r="D75" i="51"/>
  <c r="U75" i="51" s="1"/>
  <c r="C75" i="51"/>
  <c r="B75" i="51"/>
  <c r="P74" i="51"/>
  <c r="O74" i="51"/>
  <c r="M74" i="51"/>
  <c r="L74" i="51"/>
  <c r="K74" i="51"/>
  <c r="J74" i="51"/>
  <c r="I74" i="51"/>
  <c r="G74" i="51"/>
  <c r="E74" i="51"/>
  <c r="D74" i="51"/>
  <c r="T74" i="51" s="1"/>
  <c r="C74" i="51"/>
  <c r="B74" i="51"/>
  <c r="P73" i="51"/>
  <c r="O73" i="51"/>
  <c r="M73" i="51"/>
  <c r="K73" i="51"/>
  <c r="J73" i="51"/>
  <c r="I73" i="51"/>
  <c r="G73" i="51"/>
  <c r="E73" i="51"/>
  <c r="D73" i="51"/>
  <c r="V73" i="51" s="1"/>
  <c r="C73" i="51"/>
  <c r="B73" i="51"/>
  <c r="P69" i="51"/>
  <c r="O69" i="51"/>
  <c r="Q69" i="51" s="1"/>
  <c r="M69" i="51"/>
  <c r="L69" i="51"/>
  <c r="K69" i="51"/>
  <c r="J69" i="51"/>
  <c r="I69" i="51"/>
  <c r="G69" i="51"/>
  <c r="E69" i="51"/>
  <c r="D69" i="51"/>
  <c r="U69" i="51" s="1"/>
  <c r="C69" i="51"/>
  <c r="B69" i="51"/>
  <c r="P68" i="51"/>
  <c r="O68" i="51"/>
  <c r="Q68" i="51" s="1"/>
  <c r="M68" i="51"/>
  <c r="L68" i="51"/>
  <c r="K68" i="51"/>
  <c r="J68" i="51"/>
  <c r="I68" i="51"/>
  <c r="G68" i="51"/>
  <c r="E68" i="51"/>
  <c r="D68" i="51"/>
  <c r="U68" i="51" s="1"/>
  <c r="C68" i="51"/>
  <c r="B68" i="51"/>
  <c r="P67" i="51"/>
  <c r="O67" i="51"/>
  <c r="M67" i="51"/>
  <c r="L67" i="51"/>
  <c r="K67" i="51"/>
  <c r="J67" i="51"/>
  <c r="I67" i="51"/>
  <c r="G67" i="51"/>
  <c r="E67" i="51"/>
  <c r="D67" i="51"/>
  <c r="C67" i="51"/>
  <c r="B67" i="51"/>
  <c r="P66" i="51"/>
  <c r="O66" i="51"/>
  <c r="M66" i="51"/>
  <c r="K66" i="51"/>
  <c r="J66" i="51"/>
  <c r="I66" i="51"/>
  <c r="G66" i="51"/>
  <c r="E66" i="51"/>
  <c r="D66" i="51"/>
  <c r="T66" i="51" s="1"/>
  <c r="C66" i="51"/>
  <c r="B66" i="51"/>
  <c r="P65" i="51"/>
  <c r="O65" i="51"/>
  <c r="M65" i="51"/>
  <c r="K65" i="51"/>
  <c r="J65" i="51"/>
  <c r="I65" i="51"/>
  <c r="G65" i="51"/>
  <c r="E65" i="51"/>
  <c r="D65" i="51"/>
  <c r="T65" i="51" s="1"/>
  <c r="C65" i="51"/>
  <c r="B65" i="51"/>
  <c r="P64" i="51"/>
  <c r="O64" i="51"/>
  <c r="M64" i="51"/>
  <c r="G64" i="51"/>
  <c r="E64" i="51"/>
  <c r="D64" i="51"/>
  <c r="S64" i="51" s="1"/>
  <c r="C64" i="51"/>
  <c r="B64" i="51"/>
  <c r="P63" i="51"/>
  <c r="O63" i="51"/>
  <c r="M63" i="51"/>
  <c r="K63" i="51"/>
  <c r="J63" i="51"/>
  <c r="G63" i="51"/>
  <c r="E63" i="51"/>
  <c r="D63" i="51"/>
  <c r="T63" i="51" s="1"/>
  <c r="C63" i="51"/>
  <c r="B63" i="51"/>
  <c r="P62" i="51"/>
  <c r="O62" i="51"/>
  <c r="M62" i="51"/>
  <c r="K62" i="51"/>
  <c r="G62" i="51"/>
  <c r="E62" i="51"/>
  <c r="D62" i="51"/>
  <c r="T62" i="51" s="1"/>
  <c r="C62" i="51"/>
  <c r="B62" i="51"/>
  <c r="P60" i="51"/>
  <c r="O60" i="51"/>
  <c r="M60" i="51"/>
  <c r="K60" i="51"/>
  <c r="J60" i="51"/>
  <c r="I60" i="51"/>
  <c r="G60" i="51"/>
  <c r="E60" i="51"/>
  <c r="D60" i="51"/>
  <c r="V60" i="51" s="1"/>
  <c r="C60" i="51"/>
  <c r="B60" i="51"/>
  <c r="P59" i="51"/>
  <c r="O59" i="51"/>
  <c r="M59" i="51"/>
  <c r="K59" i="51"/>
  <c r="I59" i="51"/>
  <c r="G59" i="51"/>
  <c r="E59" i="51"/>
  <c r="D59" i="51"/>
  <c r="T59" i="51" s="1"/>
  <c r="C59" i="51"/>
  <c r="B59" i="51"/>
  <c r="O58" i="51"/>
  <c r="M58" i="51"/>
  <c r="I58" i="51"/>
  <c r="G58" i="51"/>
  <c r="E58" i="51"/>
  <c r="D58" i="51"/>
  <c r="C58" i="51"/>
  <c r="B58" i="51"/>
  <c r="P57" i="51"/>
  <c r="O57" i="51"/>
  <c r="M57" i="51"/>
  <c r="K57" i="51"/>
  <c r="I57" i="51"/>
  <c r="G57" i="51"/>
  <c r="E57" i="51"/>
  <c r="D57" i="51"/>
  <c r="V57" i="51" s="1"/>
  <c r="C57" i="51"/>
  <c r="B57" i="51"/>
  <c r="P56" i="51"/>
  <c r="O56" i="51"/>
  <c r="M56" i="51"/>
  <c r="K56" i="51"/>
  <c r="J56" i="51"/>
  <c r="I56" i="51"/>
  <c r="G56" i="51"/>
  <c r="E56" i="51"/>
  <c r="D56" i="51"/>
  <c r="X56" i="51" s="1"/>
  <c r="C56" i="51"/>
  <c r="B56" i="51"/>
  <c r="P55" i="51"/>
  <c r="O55" i="51"/>
  <c r="G55" i="51"/>
  <c r="E55" i="51"/>
  <c r="D55" i="51"/>
  <c r="S55" i="51" s="1"/>
  <c r="C55" i="51"/>
  <c r="B55" i="51"/>
  <c r="P54" i="51"/>
  <c r="O54" i="51"/>
  <c r="Q54" i="51" s="1"/>
  <c r="M54" i="51"/>
  <c r="K54" i="51"/>
  <c r="E54" i="51"/>
  <c r="D54" i="51"/>
  <c r="S54" i="51" s="1"/>
  <c r="C54" i="51"/>
  <c r="B54" i="51"/>
  <c r="P53" i="51"/>
  <c r="O53" i="51"/>
  <c r="Q53" i="51" s="1"/>
  <c r="M53" i="51"/>
  <c r="K53" i="51"/>
  <c r="J53" i="51"/>
  <c r="I53" i="51"/>
  <c r="G53" i="51"/>
  <c r="E53" i="51"/>
  <c r="D53" i="51"/>
  <c r="X53" i="51" s="1"/>
  <c r="C53" i="51"/>
  <c r="B53" i="51"/>
  <c r="P52" i="51"/>
  <c r="O52" i="51"/>
  <c r="M52" i="51"/>
  <c r="K52" i="51"/>
  <c r="J52" i="51"/>
  <c r="I52" i="51"/>
  <c r="E52" i="51"/>
  <c r="D52" i="51"/>
  <c r="V52" i="51" s="1"/>
  <c r="C52" i="51"/>
  <c r="B52" i="51"/>
  <c r="P51" i="51"/>
  <c r="O51" i="51"/>
  <c r="M51" i="51"/>
  <c r="K51" i="51"/>
  <c r="J51" i="51"/>
  <c r="E51" i="51"/>
  <c r="D51" i="51"/>
  <c r="V51" i="51" s="1"/>
  <c r="C51" i="51"/>
  <c r="B51" i="51"/>
  <c r="P50" i="51"/>
  <c r="O50" i="51"/>
  <c r="M50" i="51"/>
  <c r="G50" i="51"/>
  <c r="E50" i="51"/>
  <c r="D50" i="51"/>
  <c r="T50" i="51" s="1"/>
  <c r="C50" i="51"/>
  <c r="B50" i="51"/>
  <c r="P49" i="51"/>
  <c r="O49" i="51"/>
  <c r="M49" i="51"/>
  <c r="K49" i="51"/>
  <c r="I49" i="51"/>
  <c r="G49" i="51"/>
  <c r="E49" i="51"/>
  <c r="D49" i="51"/>
  <c r="T49" i="51" s="1"/>
  <c r="C49" i="51"/>
  <c r="B49" i="51"/>
  <c r="P48" i="51"/>
  <c r="O48" i="51"/>
  <c r="M48" i="51"/>
  <c r="K48" i="51"/>
  <c r="I48" i="51"/>
  <c r="G48" i="51"/>
  <c r="E48" i="51"/>
  <c r="D48" i="51"/>
  <c r="C48" i="51"/>
  <c r="B48" i="51"/>
  <c r="P46" i="51"/>
  <c r="O46" i="51"/>
  <c r="K46" i="51"/>
  <c r="J46" i="51"/>
  <c r="I46" i="51"/>
  <c r="G46" i="51"/>
  <c r="E46" i="51"/>
  <c r="D46" i="51"/>
  <c r="V46" i="51" s="1"/>
  <c r="C46" i="51"/>
  <c r="B46" i="51"/>
  <c r="P45" i="51"/>
  <c r="O45" i="51"/>
  <c r="M45" i="51"/>
  <c r="K45" i="51"/>
  <c r="J45" i="51"/>
  <c r="I45" i="51"/>
  <c r="G45" i="51"/>
  <c r="E45" i="51"/>
  <c r="D45" i="51"/>
  <c r="V45" i="51" s="1"/>
  <c r="C45" i="51"/>
  <c r="B45" i="51"/>
  <c r="P44" i="51"/>
  <c r="O44" i="51"/>
  <c r="M44" i="51"/>
  <c r="K44" i="51"/>
  <c r="I44" i="51"/>
  <c r="E44" i="51"/>
  <c r="D44" i="51"/>
  <c r="X44" i="51" s="1"/>
  <c r="C44" i="51"/>
  <c r="B44" i="51"/>
  <c r="P43" i="51"/>
  <c r="O43" i="51"/>
  <c r="M43" i="51"/>
  <c r="K43" i="51"/>
  <c r="E43" i="51"/>
  <c r="D43" i="51"/>
  <c r="C43" i="51"/>
  <c r="B43" i="51"/>
  <c r="O42" i="51"/>
  <c r="M42" i="51"/>
  <c r="K42" i="51"/>
  <c r="E42" i="51"/>
  <c r="D42" i="51"/>
  <c r="S42" i="51" s="1"/>
  <c r="C42" i="51"/>
  <c r="B42" i="51"/>
  <c r="O41" i="51"/>
  <c r="M41" i="51"/>
  <c r="K41" i="51"/>
  <c r="I41" i="51"/>
  <c r="G41" i="51"/>
  <c r="E41" i="51"/>
  <c r="D41" i="51"/>
  <c r="S41" i="51" s="1"/>
  <c r="C41" i="51"/>
  <c r="B41" i="51"/>
  <c r="O40" i="51"/>
  <c r="M40" i="51"/>
  <c r="K40" i="51"/>
  <c r="I40" i="51"/>
  <c r="G40" i="51"/>
  <c r="E40" i="51"/>
  <c r="D40" i="51"/>
  <c r="V40" i="51" s="1"/>
  <c r="C40" i="51"/>
  <c r="B40" i="51"/>
  <c r="O39" i="51"/>
  <c r="M39" i="51"/>
  <c r="K39" i="51"/>
  <c r="I39" i="51"/>
  <c r="G39" i="51"/>
  <c r="E39" i="51"/>
  <c r="D39" i="51"/>
  <c r="V39" i="51" s="1"/>
  <c r="C39" i="51"/>
  <c r="B39" i="51"/>
  <c r="P38" i="51"/>
  <c r="O38" i="51"/>
  <c r="K38" i="51"/>
  <c r="I38" i="51"/>
  <c r="G38" i="51"/>
  <c r="E38" i="51"/>
  <c r="D38" i="51"/>
  <c r="U38" i="51" s="1"/>
  <c r="C38" i="51"/>
  <c r="B38" i="51"/>
  <c r="P37" i="51"/>
  <c r="O37" i="51"/>
  <c r="M37" i="51"/>
  <c r="L37" i="51"/>
  <c r="K37" i="51"/>
  <c r="J37" i="51"/>
  <c r="I37" i="51"/>
  <c r="G37" i="51"/>
  <c r="E37" i="51"/>
  <c r="D37" i="51"/>
  <c r="S37" i="51" s="1"/>
  <c r="C37" i="51"/>
  <c r="B37" i="51"/>
  <c r="P36" i="51"/>
  <c r="O36" i="51"/>
  <c r="M36" i="51"/>
  <c r="K36" i="51"/>
  <c r="J36" i="51"/>
  <c r="I36" i="51"/>
  <c r="G36" i="51"/>
  <c r="E36" i="51"/>
  <c r="D36" i="51"/>
  <c r="T36" i="51" s="1"/>
  <c r="C36" i="51"/>
  <c r="B36" i="51"/>
  <c r="P34" i="51"/>
  <c r="O34" i="51"/>
  <c r="Q34" i="51" s="1"/>
  <c r="E34" i="51"/>
  <c r="D34" i="51"/>
  <c r="W34" i="51" s="1"/>
  <c r="C34" i="51"/>
  <c r="B34" i="51"/>
  <c r="P33" i="51"/>
  <c r="O33" i="51"/>
  <c r="M33" i="51"/>
  <c r="K33" i="51"/>
  <c r="J33" i="51"/>
  <c r="I33" i="51"/>
  <c r="G33" i="51"/>
  <c r="E33" i="51"/>
  <c r="D33" i="51"/>
  <c r="C33" i="51"/>
  <c r="B33" i="51"/>
  <c r="P29" i="51"/>
  <c r="O29" i="51"/>
  <c r="M29" i="51"/>
  <c r="K29" i="51"/>
  <c r="J29" i="51"/>
  <c r="I29" i="51"/>
  <c r="G29" i="51"/>
  <c r="E29" i="51"/>
  <c r="D29" i="51"/>
  <c r="U29" i="51" s="1"/>
  <c r="C29" i="51"/>
  <c r="B29" i="51"/>
  <c r="P28" i="51"/>
  <c r="O28" i="51"/>
  <c r="M28" i="51"/>
  <c r="K28" i="51"/>
  <c r="J28" i="51"/>
  <c r="G28" i="51"/>
  <c r="E28" i="51"/>
  <c r="D28" i="51"/>
  <c r="C28" i="51"/>
  <c r="B28" i="51"/>
  <c r="P27" i="51"/>
  <c r="O27" i="51"/>
  <c r="I27" i="51"/>
  <c r="G27" i="51"/>
  <c r="E27" i="51"/>
  <c r="D27" i="51"/>
  <c r="T27" i="51" s="1"/>
  <c r="C27" i="51"/>
  <c r="B27" i="51"/>
  <c r="P26" i="51"/>
  <c r="O26" i="51"/>
  <c r="M26" i="51"/>
  <c r="G26" i="51"/>
  <c r="E26" i="51"/>
  <c r="D26" i="51"/>
  <c r="V26" i="51" s="1"/>
  <c r="C26" i="51"/>
  <c r="B26" i="51"/>
  <c r="P25" i="51"/>
  <c r="O25" i="51"/>
  <c r="M25" i="51"/>
  <c r="K25" i="51"/>
  <c r="J25" i="51"/>
  <c r="G25" i="51"/>
  <c r="E25" i="51"/>
  <c r="D25" i="51"/>
  <c r="C25" i="51"/>
  <c r="B25" i="51"/>
  <c r="P24" i="51"/>
  <c r="O24" i="51"/>
  <c r="M24" i="51"/>
  <c r="L24" i="51"/>
  <c r="K24" i="51"/>
  <c r="J24" i="51"/>
  <c r="I24" i="51"/>
  <c r="G24" i="51"/>
  <c r="E24" i="51"/>
  <c r="D24" i="51"/>
  <c r="X24" i="51" s="1"/>
  <c r="C24" i="51"/>
  <c r="B24" i="51"/>
  <c r="P23" i="51"/>
  <c r="O23" i="51"/>
  <c r="Q23" i="51" s="1"/>
  <c r="K23" i="51"/>
  <c r="J23" i="51"/>
  <c r="I23" i="51"/>
  <c r="G23" i="51"/>
  <c r="E23" i="51"/>
  <c r="D23" i="51"/>
  <c r="C23" i="51"/>
  <c r="B23" i="51"/>
  <c r="P22" i="51"/>
  <c r="O22" i="51"/>
  <c r="I22" i="51"/>
  <c r="G22" i="51"/>
  <c r="E22" i="51"/>
  <c r="D22" i="51"/>
  <c r="S22" i="51" s="1"/>
  <c r="C22" i="51"/>
  <c r="B22" i="51"/>
  <c r="P21" i="51"/>
  <c r="O21" i="51"/>
  <c r="K21" i="51"/>
  <c r="I21" i="51"/>
  <c r="G21" i="51"/>
  <c r="E21" i="51"/>
  <c r="D21" i="51"/>
  <c r="T21" i="51" s="1"/>
  <c r="C21" i="51"/>
  <c r="B21" i="51"/>
  <c r="P20" i="51"/>
  <c r="O20" i="51"/>
  <c r="M20" i="51"/>
  <c r="K20" i="51"/>
  <c r="J20" i="51"/>
  <c r="I20" i="51"/>
  <c r="E20" i="51"/>
  <c r="D20" i="51"/>
  <c r="S20" i="51" s="1"/>
  <c r="C20" i="51"/>
  <c r="B20" i="51"/>
  <c r="P19" i="51"/>
  <c r="O19" i="51"/>
  <c r="M19" i="51"/>
  <c r="K19" i="51"/>
  <c r="J19" i="51"/>
  <c r="I19" i="51"/>
  <c r="G19" i="51"/>
  <c r="E19" i="51"/>
  <c r="D19" i="51"/>
  <c r="X19" i="51" s="1"/>
  <c r="C19" i="51"/>
  <c r="B19" i="51"/>
  <c r="P16" i="51"/>
  <c r="O16" i="51"/>
  <c r="M16" i="51"/>
  <c r="L16" i="51"/>
  <c r="K16" i="51"/>
  <c r="J16" i="51"/>
  <c r="I16" i="51"/>
  <c r="G16" i="51"/>
  <c r="E16" i="51"/>
  <c r="D16" i="51"/>
  <c r="C16" i="51"/>
  <c r="B16" i="51"/>
  <c r="P15" i="51"/>
  <c r="O15" i="51"/>
  <c r="M15" i="51"/>
  <c r="L15" i="51"/>
  <c r="K15" i="51"/>
  <c r="J15" i="51"/>
  <c r="I15" i="51"/>
  <c r="G15" i="51"/>
  <c r="E15" i="51"/>
  <c r="D15" i="51"/>
  <c r="T15" i="51" s="1"/>
  <c r="C15" i="51"/>
  <c r="B15" i="51"/>
  <c r="P14" i="51"/>
  <c r="O14" i="51"/>
  <c r="M14" i="51"/>
  <c r="L14" i="51"/>
  <c r="K14" i="51"/>
  <c r="J14" i="51"/>
  <c r="I14" i="51"/>
  <c r="G14" i="51"/>
  <c r="E14" i="51"/>
  <c r="D14" i="51"/>
  <c r="C14" i="51"/>
  <c r="B14" i="51"/>
  <c r="P13" i="51"/>
  <c r="O13" i="51"/>
  <c r="M13" i="51"/>
  <c r="L13" i="51"/>
  <c r="K13" i="51"/>
  <c r="J13" i="51"/>
  <c r="I13" i="51"/>
  <c r="G13" i="51"/>
  <c r="E13" i="51"/>
  <c r="D13" i="51"/>
  <c r="X13" i="51" s="1"/>
  <c r="C13" i="51"/>
  <c r="B13" i="51"/>
  <c r="P12" i="51"/>
  <c r="O12" i="51"/>
  <c r="M12" i="51"/>
  <c r="L12" i="51"/>
  <c r="K12" i="51"/>
  <c r="J12" i="51"/>
  <c r="I12" i="51"/>
  <c r="G12" i="51"/>
  <c r="E12" i="51"/>
  <c r="D12" i="51"/>
  <c r="T12" i="51" s="1"/>
  <c r="C12" i="51"/>
  <c r="B12" i="51"/>
  <c r="P11" i="51"/>
  <c r="O11" i="51"/>
  <c r="M11" i="51"/>
  <c r="L11" i="51"/>
  <c r="K11" i="51"/>
  <c r="J11" i="51"/>
  <c r="I11" i="51"/>
  <c r="G11" i="51"/>
  <c r="E11" i="51"/>
  <c r="D11" i="51"/>
  <c r="U11" i="51" s="1"/>
  <c r="C11" i="51"/>
  <c r="B11" i="51"/>
  <c r="P10" i="51"/>
  <c r="O10" i="51"/>
  <c r="M10" i="51"/>
  <c r="L10" i="51"/>
  <c r="K10" i="51"/>
  <c r="J10" i="51"/>
  <c r="I10" i="51"/>
  <c r="G10" i="51"/>
  <c r="E10" i="51"/>
  <c r="D10" i="51"/>
  <c r="V10" i="51" s="1"/>
  <c r="C10" i="51"/>
  <c r="B10" i="51"/>
  <c r="P9" i="51"/>
  <c r="O9" i="51"/>
  <c r="M9" i="51"/>
  <c r="L9" i="51"/>
  <c r="K9" i="51"/>
  <c r="J9" i="51"/>
  <c r="I9" i="51"/>
  <c r="G9" i="51"/>
  <c r="E9" i="51"/>
  <c r="D9" i="51"/>
  <c r="T9" i="51" s="1"/>
  <c r="C9" i="51"/>
  <c r="B9" i="51"/>
  <c r="P8" i="51"/>
  <c r="O8" i="51"/>
  <c r="M8" i="51"/>
  <c r="K8" i="51"/>
  <c r="I8" i="51"/>
  <c r="G8" i="51"/>
  <c r="E8" i="51"/>
  <c r="D8" i="51"/>
  <c r="V8" i="51" s="1"/>
  <c r="C8" i="51"/>
  <c r="B8" i="51"/>
  <c r="P7" i="51"/>
  <c r="O7" i="51"/>
  <c r="M7" i="51"/>
  <c r="K7" i="51"/>
  <c r="I7" i="51"/>
  <c r="G7" i="51"/>
  <c r="E7" i="51"/>
  <c r="D7" i="51"/>
  <c r="S7" i="51" s="1"/>
  <c r="C7" i="51"/>
  <c r="B7" i="51"/>
  <c r="P6" i="51"/>
  <c r="O6" i="51"/>
  <c r="M6" i="51"/>
  <c r="L6" i="51"/>
  <c r="K6" i="51"/>
  <c r="J6" i="51"/>
  <c r="I6" i="51"/>
  <c r="G6" i="51"/>
  <c r="E6" i="51"/>
  <c r="D6" i="51"/>
  <c r="S6" i="51" s="1"/>
  <c r="C6" i="51"/>
  <c r="B6" i="51"/>
  <c r="P5" i="51"/>
  <c r="O5" i="51"/>
  <c r="M5" i="51"/>
  <c r="K5" i="51"/>
  <c r="J5" i="51"/>
  <c r="I5" i="51"/>
  <c r="G5" i="51"/>
  <c r="E5" i="51"/>
  <c r="D5" i="51"/>
  <c r="V5" i="51" s="1"/>
  <c r="C5" i="51"/>
  <c r="B5" i="51"/>
  <c r="P4" i="51"/>
  <c r="O4" i="51"/>
  <c r="M4" i="51"/>
  <c r="K4" i="51"/>
  <c r="J4" i="51"/>
  <c r="I4" i="51"/>
  <c r="G4" i="51"/>
  <c r="E4" i="51"/>
  <c r="D4" i="51"/>
  <c r="V4" i="51" s="1"/>
  <c r="C4" i="51"/>
  <c r="B4" i="51"/>
  <c r="P3" i="51"/>
  <c r="O3" i="51"/>
  <c r="M3" i="51"/>
  <c r="K3" i="51"/>
  <c r="J3" i="51"/>
  <c r="I3" i="51"/>
  <c r="G3" i="51"/>
  <c r="N3" i="51" s="1"/>
  <c r="E3" i="51"/>
  <c r="D3" i="51"/>
  <c r="C3" i="51"/>
  <c r="B3" i="51"/>
  <c r="P2" i="51"/>
  <c r="O2" i="51"/>
  <c r="M2" i="51"/>
  <c r="K2" i="51"/>
  <c r="J2" i="51"/>
  <c r="I2" i="51"/>
  <c r="G2" i="51"/>
  <c r="E2" i="51"/>
  <c r="D2" i="51"/>
  <c r="U2" i="51" s="1"/>
  <c r="B2" i="51"/>
  <c r="P89" i="10"/>
  <c r="O89" i="10"/>
  <c r="P88" i="10"/>
  <c r="O88" i="10"/>
  <c r="M88" i="10"/>
  <c r="K88" i="10"/>
  <c r="J88" i="10"/>
  <c r="G88" i="10"/>
  <c r="E88" i="10"/>
  <c r="D88" i="10"/>
  <c r="C88" i="10"/>
  <c r="B88" i="10"/>
  <c r="P87" i="10"/>
  <c r="O87" i="10"/>
  <c r="E87" i="10"/>
  <c r="D87" i="10"/>
  <c r="C87" i="10"/>
  <c r="B87" i="10"/>
  <c r="P85" i="10"/>
  <c r="O85" i="10"/>
  <c r="M85" i="10"/>
  <c r="L85" i="10"/>
  <c r="K85" i="10"/>
  <c r="J85" i="10"/>
  <c r="I85" i="10"/>
  <c r="G85" i="10"/>
  <c r="E85" i="10"/>
  <c r="D85" i="10"/>
  <c r="C85" i="10"/>
  <c r="B85" i="10"/>
  <c r="P84" i="10"/>
  <c r="O84" i="10"/>
  <c r="K84" i="10"/>
  <c r="J84" i="10"/>
  <c r="E84" i="10"/>
  <c r="D84" i="10"/>
  <c r="C84" i="10"/>
  <c r="B84" i="10"/>
  <c r="P82" i="10"/>
  <c r="O82" i="10"/>
  <c r="Q82" i="10" s="1"/>
  <c r="K82" i="10"/>
  <c r="J82" i="10"/>
  <c r="E82" i="10"/>
  <c r="D82" i="10"/>
  <c r="C82" i="10"/>
  <c r="B82" i="10"/>
  <c r="P81" i="10"/>
  <c r="O81" i="10"/>
  <c r="Q81" i="10" s="1"/>
  <c r="M81" i="10"/>
  <c r="K81" i="10"/>
  <c r="J81" i="10"/>
  <c r="I81" i="10"/>
  <c r="G81" i="10"/>
  <c r="E81" i="10"/>
  <c r="D81" i="10"/>
  <c r="C81" i="10"/>
  <c r="B81" i="10"/>
  <c r="P80" i="10"/>
  <c r="O80" i="10"/>
  <c r="Q80" i="10" s="1"/>
  <c r="M80" i="10"/>
  <c r="K80" i="10"/>
  <c r="J80" i="10"/>
  <c r="I80" i="10"/>
  <c r="G80" i="10"/>
  <c r="E80" i="10"/>
  <c r="D80" i="10"/>
  <c r="C80" i="10"/>
  <c r="B80" i="10"/>
  <c r="P79" i="10"/>
  <c r="O79" i="10"/>
  <c r="Q79" i="10" s="1"/>
  <c r="K79" i="10"/>
  <c r="I79" i="10"/>
  <c r="G79" i="10"/>
  <c r="E79" i="10"/>
  <c r="D79" i="10"/>
  <c r="C79" i="10"/>
  <c r="B79" i="10"/>
  <c r="P78" i="10"/>
  <c r="O78" i="10"/>
  <c r="Q78" i="10" s="1"/>
  <c r="K78" i="10"/>
  <c r="I78" i="10"/>
  <c r="G78" i="10"/>
  <c r="E78" i="10"/>
  <c r="D78" i="10"/>
  <c r="C78" i="10"/>
  <c r="B78" i="10"/>
  <c r="P77" i="10"/>
  <c r="O77" i="10"/>
  <c r="Q77" i="10" s="1"/>
  <c r="K77" i="10"/>
  <c r="I77" i="10"/>
  <c r="G77" i="10"/>
  <c r="E77" i="10"/>
  <c r="D77" i="10"/>
  <c r="C77" i="10"/>
  <c r="B77" i="10"/>
  <c r="P75" i="10"/>
  <c r="O75" i="10"/>
  <c r="Q75" i="10" s="1"/>
  <c r="K75" i="10"/>
  <c r="I75" i="10"/>
  <c r="G75" i="10"/>
  <c r="E75" i="10"/>
  <c r="D75" i="10"/>
  <c r="C75" i="10"/>
  <c r="B75" i="10"/>
  <c r="P74" i="10"/>
  <c r="O74" i="10"/>
  <c r="M74" i="10"/>
  <c r="L74" i="10"/>
  <c r="K74" i="10"/>
  <c r="J74" i="10"/>
  <c r="I74" i="10"/>
  <c r="G74" i="10"/>
  <c r="N74" i="10" s="1"/>
  <c r="E74" i="10"/>
  <c r="D74" i="10"/>
  <c r="C74" i="10"/>
  <c r="B74" i="10"/>
  <c r="P73" i="10"/>
  <c r="O73" i="10"/>
  <c r="M73" i="10"/>
  <c r="K73" i="10"/>
  <c r="J73" i="10"/>
  <c r="I73" i="10"/>
  <c r="G73" i="10"/>
  <c r="E73" i="10"/>
  <c r="D73" i="10"/>
  <c r="C73" i="10"/>
  <c r="B73" i="10"/>
  <c r="P69" i="10"/>
  <c r="O69" i="10"/>
  <c r="M69" i="10"/>
  <c r="L69" i="10"/>
  <c r="K69" i="10"/>
  <c r="J69" i="10"/>
  <c r="I69" i="10"/>
  <c r="G69" i="10"/>
  <c r="E69" i="10"/>
  <c r="D69" i="10"/>
  <c r="AB69" i="10" s="1"/>
  <c r="C69" i="10"/>
  <c r="B69" i="10"/>
  <c r="P68" i="10"/>
  <c r="O68" i="10"/>
  <c r="Q68" i="10" s="1"/>
  <c r="M68" i="10"/>
  <c r="L68" i="10"/>
  <c r="K68" i="10"/>
  <c r="J68" i="10"/>
  <c r="I68" i="10"/>
  <c r="G68" i="10"/>
  <c r="E68" i="10"/>
  <c r="D68" i="10"/>
  <c r="C68" i="10"/>
  <c r="B68" i="10"/>
  <c r="P67" i="10"/>
  <c r="O67" i="10"/>
  <c r="Q67" i="10" s="1"/>
  <c r="M67" i="10"/>
  <c r="L67" i="10"/>
  <c r="K67" i="10"/>
  <c r="J67" i="10"/>
  <c r="I67" i="10"/>
  <c r="G67" i="10"/>
  <c r="E67" i="10"/>
  <c r="D67" i="10"/>
  <c r="C67" i="10"/>
  <c r="B67" i="10"/>
  <c r="P66" i="10"/>
  <c r="O66" i="10"/>
  <c r="Q66" i="10" s="1"/>
  <c r="M66" i="10"/>
  <c r="K66" i="10"/>
  <c r="J66" i="10"/>
  <c r="I66" i="10"/>
  <c r="G66" i="10"/>
  <c r="E66" i="10"/>
  <c r="D66" i="10"/>
  <c r="C66" i="10"/>
  <c r="B66" i="10"/>
  <c r="P65" i="10"/>
  <c r="O65" i="10"/>
  <c r="Q65" i="10" s="1"/>
  <c r="M65" i="10"/>
  <c r="K65" i="10"/>
  <c r="J65" i="10"/>
  <c r="I65" i="10"/>
  <c r="G65" i="10"/>
  <c r="E65" i="10"/>
  <c r="D65" i="10"/>
  <c r="C65" i="10"/>
  <c r="B65" i="10"/>
  <c r="P64" i="10"/>
  <c r="O64" i="10"/>
  <c r="Q64" i="10" s="1"/>
  <c r="E64" i="10"/>
  <c r="D64" i="10"/>
  <c r="C64" i="10"/>
  <c r="B64" i="10"/>
  <c r="P63" i="10"/>
  <c r="O63" i="10"/>
  <c r="Q63" i="10" s="1"/>
  <c r="M63" i="10"/>
  <c r="K63" i="10"/>
  <c r="J63" i="10"/>
  <c r="G63" i="10"/>
  <c r="E63" i="10"/>
  <c r="D63" i="10"/>
  <c r="C63" i="10"/>
  <c r="B63" i="10"/>
  <c r="P62" i="10"/>
  <c r="O62" i="10"/>
  <c r="K62" i="10"/>
  <c r="G62" i="10"/>
  <c r="E62" i="10"/>
  <c r="D62" i="10"/>
  <c r="C62" i="10"/>
  <c r="B62" i="10"/>
  <c r="P60" i="10"/>
  <c r="O60" i="10"/>
  <c r="Q60" i="10" s="1"/>
  <c r="M60" i="10"/>
  <c r="K60" i="10"/>
  <c r="J60" i="10"/>
  <c r="I60" i="10"/>
  <c r="G60" i="10"/>
  <c r="E60" i="10"/>
  <c r="D60" i="10"/>
  <c r="C60" i="10"/>
  <c r="B60" i="10"/>
  <c r="P59" i="10"/>
  <c r="O59" i="10"/>
  <c r="Q59" i="10" s="1"/>
  <c r="M59" i="10"/>
  <c r="K59" i="10"/>
  <c r="I59" i="10"/>
  <c r="G59" i="10"/>
  <c r="E59" i="10"/>
  <c r="D59" i="10"/>
  <c r="C59" i="10"/>
  <c r="B59" i="10"/>
  <c r="P58" i="10"/>
  <c r="O58" i="10"/>
  <c r="I58" i="10"/>
  <c r="G58" i="10"/>
  <c r="D58" i="10"/>
  <c r="C58" i="10"/>
  <c r="B58" i="10"/>
  <c r="P57" i="10"/>
  <c r="O57" i="10"/>
  <c r="K57" i="10"/>
  <c r="I57" i="10"/>
  <c r="G57" i="10"/>
  <c r="E57" i="10"/>
  <c r="D57" i="10"/>
  <c r="C57" i="10"/>
  <c r="B57" i="10"/>
  <c r="P56" i="10"/>
  <c r="O56" i="10"/>
  <c r="Q56" i="10" s="1"/>
  <c r="M56" i="10"/>
  <c r="K56" i="10"/>
  <c r="J56" i="10"/>
  <c r="I56" i="10"/>
  <c r="G56" i="10"/>
  <c r="E56" i="10"/>
  <c r="D56" i="10"/>
  <c r="C56" i="10"/>
  <c r="B56" i="10"/>
  <c r="P55" i="10"/>
  <c r="O55" i="10"/>
  <c r="Q55" i="10" s="1"/>
  <c r="G55" i="10"/>
  <c r="E55" i="10"/>
  <c r="D55" i="10"/>
  <c r="C55" i="10"/>
  <c r="B55" i="10"/>
  <c r="P54" i="10"/>
  <c r="O54" i="10"/>
  <c r="Q54" i="10" s="1"/>
  <c r="K54" i="10"/>
  <c r="G54" i="10"/>
  <c r="E54" i="10"/>
  <c r="D54" i="10"/>
  <c r="C54" i="10"/>
  <c r="B54" i="10"/>
  <c r="P53" i="10"/>
  <c r="O53" i="10"/>
  <c r="Q53" i="10" s="1"/>
  <c r="M53" i="10"/>
  <c r="K53" i="10"/>
  <c r="J53" i="10"/>
  <c r="I53" i="10"/>
  <c r="G53" i="10"/>
  <c r="E53" i="10"/>
  <c r="D53" i="10"/>
  <c r="C53" i="10"/>
  <c r="B53" i="10"/>
  <c r="P52" i="10"/>
  <c r="O52" i="10"/>
  <c r="Q52" i="10" s="1"/>
  <c r="M52" i="10"/>
  <c r="L52" i="10"/>
  <c r="K52" i="10"/>
  <c r="J52" i="10"/>
  <c r="I52" i="10"/>
  <c r="G52" i="10"/>
  <c r="E52" i="10"/>
  <c r="D52" i="10"/>
  <c r="C52" i="10"/>
  <c r="B52" i="10"/>
  <c r="P51" i="10"/>
  <c r="O51" i="10"/>
  <c r="Q51" i="10" s="1"/>
  <c r="M51" i="10"/>
  <c r="K51" i="10"/>
  <c r="J51" i="10"/>
  <c r="E51" i="10"/>
  <c r="D51" i="10"/>
  <c r="C51" i="10"/>
  <c r="B51" i="10"/>
  <c r="P50" i="10"/>
  <c r="O50" i="10"/>
  <c r="M50" i="10"/>
  <c r="K50" i="10"/>
  <c r="I50" i="10"/>
  <c r="E50" i="10"/>
  <c r="D50" i="10"/>
  <c r="C50" i="10"/>
  <c r="B50" i="10"/>
  <c r="P49" i="10"/>
  <c r="O49" i="10"/>
  <c r="K49" i="10"/>
  <c r="I49" i="10"/>
  <c r="G49" i="10"/>
  <c r="E49" i="10"/>
  <c r="D49" i="10"/>
  <c r="C49" i="10"/>
  <c r="B49" i="10"/>
  <c r="P48" i="10"/>
  <c r="O48" i="10"/>
  <c r="M48" i="10"/>
  <c r="K48" i="10"/>
  <c r="I48" i="10"/>
  <c r="G48" i="10"/>
  <c r="E48" i="10"/>
  <c r="D48" i="10"/>
  <c r="C48" i="10"/>
  <c r="B48" i="10"/>
  <c r="P46" i="10"/>
  <c r="O46" i="10"/>
  <c r="Q46" i="10" s="1"/>
  <c r="M46" i="10"/>
  <c r="K46" i="10"/>
  <c r="J46" i="10"/>
  <c r="I46" i="10"/>
  <c r="G46" i="10"/>
  <c r="E46" i="10"/>
  <c r="D46" i="10"/>
  <c r="C46" i="10"/>
  <c r="B46" i="10"/>
  <c r="P45" i="10"/>
  <c r="O45" i="10"/>
  <c r="Q45" i="10" s="1"/>
  <c r="M45" i="10"/>
  <c r="K45" i="10"/>
  <c r="J45" i="10"/>
  <c r="I45" i="10"/>
  <c r="G45" i="10"/>
  <c r="E45" i="10"/>
  <c r="D45" i="10"/>
  <c r="C45" i="10"/>
  <c r="B45" i="10"/>
  <c r="P44" i="10"/>
  <c r="O44" i="10"/>
  <c r="Q44" i="10" s="1"/>
  <c r="K44" i="10"/>
  <c r="I44" i="10"/>
  <c r="E44" i="10"/>
  <c r="D44" i="10"/>
  <c r="C44" i="10"/>
  <c r="B44" i="10"/>
  <c r="P43" i="10"/>
  <c r="O43" i="10"/>
  <c r="Q43" i="10" s="1"/>
  <c r="K43" i="10"/>
  <c r="E43" i="10"/>
  <c r="D43" i="10"/>
  <c r="C43" i="10"/>
  <c r="B43" i="10"/>
  <c r="P42" i="10"/>
  <c r="O42" i="10"/>
  <c r="Q42" i="10" s="1"/>
  <c r="K42" i="10"/>
  <c r="E42" i="10"/>
  <c r="D42" i="10"/>
  <c r="C42" i="10"/>
  <c r="B42" i="10"/>
  <c r="P41" i="10"/>
  <c r="O41" i="10"/>
  <c r="Q41" i="10" s="1"/>
  <c r="K41" i="10"/>
  <c r="I41" i="10"/>
  <c r="G41" i="10"/>
  <c r="E41" i="10"/>
  <c r="D41" i="10"/>
  <c r="C41" i="10"/>
  <c r="B41" i="10"/>
  <c r="P40" i="10"/>
  <c r="O40" i="10"/>
  <c r="Q40" i="10" s="1"/>
  <c r="K40" i="10"/>
  <c r="I40" i="10"/>
  <c r="G40" i="10"/>
  <c r="E40" i="10"/>
  <c r="D40" i="10"/>
  <c r="C40" i="10"/>
  <c r="B40" i="10"/>
  <c r="P39" i="10"/>
  <c r="O39" i="10"/>
  <c r="Q39" i="10" s="1"/>
  <c r="K39" i="10"/>
  <c r="J39" i="10"/>
  <c r="I39" i="10"/>
  <c r="G39" i="10"/>
  <c r="E39" i="10"/>
  <c r="D39" i="10"/>
  <c r="C39" i="10"/>
  <c r="B39" i="10"/>
  <c r="P38" i="10"/>
  <c r="O38" i="10"/>
  <c r="K38" i="10"/>
  <c r="I38" i="10"/>
  <c r="G38" i="10"/>
  <c r="E38" i="10"/>
  <c r="D38" i="10"/>
  <c r="C38" i="10"/>
  <c r="B38" i="10"/>
  <c r="P37" i="10"/>
  <c r="O37" i="10"/>
  <c r="L37" i="10"/>
  <c r="K37" i="10"/>
  <c r="J37" i="10"/>
  <c r="I37" i="10"/>
  <c r="G37" i="10"/>
  <c r="E37" i="10"/>
  <c r="D37" i="10"/>
  <c r="C37" i="10"/>
  <c r="B37" i="10"/>
  <c r="P36" i="10"/>
  <c r="O36" i="10"/>
  <c r="M36" i="10"/>
  <c r="K36" i="10"/>
  <c r="J36" i="10"/>
  <c r="I36" i="10"/>
  <c r="G36" i="10"/>
  <c r="E36" i="10"/>
  <c r="D36" i="10"/>
  <c r="C36" i="10"/>
  <c r="B36" i="10"/>
  <c r="P34" i="10"/>
  <c r="O34" i="10"/>
  <c r="E34" i="10"/>
  <c r="D34" i="10"/>
  <c r="C34" i="10"/>
  <c r="B34" i="10"/>
  <c r="P33" i="10"/>
  <c r="O33" i="10"/>
  <c r="M33" i="10"/>
  <c r="K33" i="10"/>
  <c r="J33" i="10"/>
  <c r="I33" i="10"/>
  <c r="G33" i="10"/>
  <c r="E33" i="10"/>
  <c r="D33" i="10"/>
  <c r="C33" i="10"/>
  <c r="B33" i="10"/>
  <c r="P29" i="10"/>
  <c r="O29" i="10"/>
  <c r="M29" i="10"/>
  <c r="K29" i="10"/>
  <c r="J29" i="10"/>
  <c r="I29" i="10"/>
  <c r="G29" i="10"/>
  <c r="E29" i="10"/>
  <c r="D29" i="10"/>
  <c r="C29" i="10"/>
  <c r="B29" i="10"/>
  <c r="P28" i="10"/>
  <c r="O28" i="10"/>
  <c r="Q28" i="10" s="1"/>
  <c r="M28" i="10"/>
  <c r="K28" i="10"/>
  <c r="J28" i="10"/>
  <c r="G28" i="10"/>
  <c r="E28" i="10"/>
  <c r="D28" i="10"/>
  <c r="C28" i="10"/>
  <c r="B28" i="10"/>
  <c r="P27" i="10"/>
  <c r="O27" i="10"/>
  <c r="I27" i="10"/>
  <c r="G27" i="10"/>
  <c r="E27" i="10"/>
  <c r="D27" i="10"/>
  <c r="C27" i="10"/>
  <c r="B27" i="10"/>
  <c r="P26" i="10"/>
  <c r="O26" i="10"/>
  <c r="M26" i="10"/>
  <c r="G26" i="10"/>
  <c r="E26" i="10"/>
  <c r="D26" i="10"/>
  <c r="C26" i="10"/>
  <c r="B26" i="10"/>
  <c r="P25" i="10"/>
  <c r="O25" i="10"/>
  <c r="M25" i="10"/>
  <c r="K25" i="10"/>
  <c r="J25" i="10"/>
  <c r="I25" i="10"/>
  <c r="G25" i="10"/>
  <c r="E25" i="10"/>
  <c r="D25" i="10"/>
  <c r="C25" i="10"/>
  <c r="B25" i="10"/>
  <c r="P24" i="10"/>
  <c r="O24" i="10"/>
  <c r="M24" i="10"/>
  <c r="L24" i="10"/>
  <c r="K24" i="10"/>
  <c r="J24" i="10"/>
  <c r="I24" i="10"/>
  <c r="G24" i="10"/>
  <c r="N24" i="10" s="1"/>
  <c r="E24" i="10"/>
  <c r="D24" i="10"/>
  <c r="C24" i="10"/>
  <c r="B24" i="10"/>
  <c r="P23" i="10"/>
  <c r="O23" i="10"/>
  <c r="J23" i="10"/>
  <c r="I23" i="10"/>
  <c r="G23" i="10"/>
  <c r="E23" i="10"/>
  <c r="D23" i="10"/>
  <c r="C23" i="10"/>
  <c r="B23" i="10"/>
  <c r="P22" i="10"/>
  <c r="O22" i="10"/>
  <c r="J22" i="10"/>
  <c r="I22" i="10"/>
  <c r="G22" i="10"/>
  <c r="E22" i="10"/>
  <c r="D22" i="10"/>
  <c r="C22" i="10"/>
  <c r="B22" i="10"/>
  <c r="P21" i="10"/>
  <c r="O21" i="10"/>
  <c r="K21" i="10"/>
  <c r="I21" i="10"/>
  <c r="G21" i="10"/>
  <c r="E21" i="10"/>
  <c r="D21" i="10"/>
  <c r="C21" i="10"/>
  <c r="B21" i="10"/>
  <c r="P20" i="10"/>
  <c r="O20" i="10"/>
  <c r="M20" i="10"/>
  <c r="K20" i="10"/>
  <c r="J20" i="10"/>
  <c r="I20" i="10"/>
  <c r="G20" i="10"/>
  <c r="E20" i="10"/>
  <c r="D20" i="10"/>
  <c r="C20" i="10"/>
  <c r="B20" i="10"/>
  <c r="P19" i="10"/>
  <c r="O19" i="10"/>
  <c r="M19" i="10"/>
  <c r="K19" i="10"/>
  <c r="J19" i="10"/>
  <c r="I19" i="10"/>
  <c r="G19" i="10"/>
  <c r="E19" i="10"/>
  <c r="D19" i="10"/>
  <c r="C19" i="10"/>
  <c r="B19" i="10"/>
  <c r="P16" i="10"/>
  <c r="O16" i="10"/>
  <c r="M16" i="10"/>
  <c r="L16" i="10"/>
  <c r="K16" i="10"/>
  <c r="J16" i="10"/>
  <c r="I16" i="10"/>
  <c r="G16" i="10"/>
  <c r="E16" i="10"/>
  <c r="D16" i="10"/>
  <c r="C16" i="10"/>
  <c r="B16" i="10"/>
  <c r="P15" i="10"/>
  <c r="O15" i="10"/>
  <c r="M15" i="10"/>
  <c r="L15" i="10"/>
  <c r="K15" i="10"/>
  <c r="J15" i="10"/>
  <c r="I15" i="10"/>
  <c r="G15" i="10"/>
  <c r="E15" i="10"/>
  <c r="D15" i="10"/>
  <c r="C15" i="10"/>
  <c r="B15" i="10"/>
  <c r="P14" i="10"/>
  <c r="O14" i="10"/>
  <c r="M14" i="10"/>
  <c r="L14" i="10"/>
  <c r="K14" i="10"/>
  <c r="J14" i="10"/>
  <c r="I14" i="10"/>
  <c r="G14" i="10"/>
  <c r="E14" i="10"/>
  <c r="D14" i="10"/>
  <c r="C14" i="10"/>
  <c r="B14" i="10"/>
  <c r="P13" i="10"/>
  <c r="O13" i="10"/>
  <c r="M13" i="10"/>
  <c r="L13" i="10"/>
  <c r="K13" i="10"/>
  <c r="J13" i="10"/>
  <c r="I13" i="10"/>
  <c r="G13" i="10"/>
  <c r="N13" i="10" s="1"/>
  <c r="E13" i="10"/>
  <c r="D13" i="10"/>
  <c r="C13" i="10"/>
  <c r="B13" i="10"/>
  <c r="P12" i="10"/>
  <c r="O12" i="10"/>
  <c r="M12" i="10"/>
  <c r="L12" i="10"/>
  <c r="K12" i="10"/>
  <c r="J12" i="10"/>
  <c r="I12" i="10"/>
  <c r="G12" i="10"/>
  <c r="E12" i="10"/>
  <c r="D12" i="10"/>
  <c r="W12" i="10" s="1"/>
  <c r="C12" i="10"/>
  <c r="B12" i="10"/>
  <c r="P11" i="10"/>
  <c r="O11" i="10"/>
  <c r="Q11" i="10" s="1"/>
  <c r="M11" i="10"/>
  <c r="L11" i="10"/>
  <c r="K11" i="10"/>
  <c r="J11" i="10"/>
  <c r="I11" i="10"/>
  <c r="G11" i="10"/>
  <c r="E11" i="10"/>
  <c r="D11" i="10"/>
  <c r="C11" i="10"/>
  <c r="B11" i="10"/>
  <c r="P10" i="10"/>
  <c r="O10" i="10"/>
  <c r="Q10" i="10" s="1"/>
  <c r="M10" i="10"/>
  <c r="K10" i="10"/>
  <c r="J10" i="10"/>
  <c r="I10" i="10"/>
  <c r="G10" i="10"/>
  <c r="E10" i="10"/>
  <c r="D10" i="10"/>
  <c r="C10" i="10"/>
  <c r="B10" i="10"/>
  <c r="P9" i="10"/>
  <c r="O9" i="10"/>
  <c r="Q9" i="10" s="1"/>
  <c r="M9" i="10"/>
  <c r="L9" i="10"/>
  <c r="K9" i="10"/>
  <c r="J9" i="10"/>
  <c r="I9" i="10"/>
  <c r="G9" i="10"/>
  <c r="N9" i="10" s="1"/>
  <c r="E9" i="10"/>
  <c r="D9" i="10"/>
  <c r="C9" i="10"/>
  <c r="B9" i="10"/>
  <c r="P8" i="10"/>
  <c r="O8" i="10"/>
  <c r="Q8" i="10" s="1"/>
  <c r="K8" i="10"/>
  <c r="I8" i="10"/>
  <c r="G8" i="10"/>
  <c r="N8" i="10" s="1"/>
  <c r="E8" i="10"/>
  <c r="D8" i="10"/>
  <c r="C8" i="10"/>
  <c r="B8" i="10"/>
  <c r="P7" i="10"/>
  <c r="O7" i="10"/>
  <c r="Q7" i="10" s="1"/>
  <c r="K7" i="10"/>
  <c r="I7" i="10"/>
  <c r="G7" i="10"/>
  <c r="H109" i="10" s="1"/>
  <c r="E7" i="10"/>
  <c r="BN7" i="10" s="1"/>
  <c r="D7" i="10"/>
  <c r="C7" i="10"/>
  <c r="B7" i="10"/>
  <c r="P6" i="10"/>
  <c r="O6" i="10"/>
  <c r="M6" i="10"/>
  <c r="L6" i="10"/>
  <c r="K6" i="10"/>
  <c r="J6" i="10"/>
  <c r="I6" i="10"/>
  <c r="G6" i="10"/>
  <c r="N6" i="10" s="1"/>
  <c r="E6" i="10"/>
  <c r="D6" i="10"/>
  <c r="C6" i="10"/>
  <c r="B6" i="10"/>
  <c r="P5" i="10"/>
  <c r="O5" i="10"/>
  <c r="M5" i="10"/>
  <c r="K5" i="10"/>
  <c r="J5" i="10"/>
  <c r="I5" i="10"/>
  <c r="G5" i="10"/>
  <c r="E5" i="10"/>
  <c r="D5" i="10"/>
  <c r="C5" i="10"/>
  <c r="B5" i="10"/>
  <c r="P4" i="10"/>
  <c r="O4" i="10"/>
  <c r="Q4" i="10" s="1"/>
  <c r="M4" i="10"/>
  <c r="L4" i="10"/>
  <c r="K4" i="10"/>
  <c r="J4" i="10"/>
  <c r="I4" i="10"/>
  <c r="G4" i="10"/>
  <c r="E4" i="10"/>
  <c r="D4" i="10"/>
  <c r="BC4" i="10" s="1"/>
  <c r="C4" i="10"/>
  <c r="B4" i="10"/>
  <c r="P3" i="10"/>
  <c r="O3" i="10"/>
  <c r="Q3" i="10" s="1"/>
  <c r="M3" i="10"/>
  <c r="K3" i="10"/>
  <c r="J3" i="10"/>
  <c r="I3" i="10"/>
  <c r="G3" i="10"/>
  <c r="N3" i="10" s="1"/>
  <c r="E3" i="10"/>
  <c r="D3" i="10"/>
  <c r="C3" i="10"/>
  <c r="B3" i="10"/>
  <c r="P2" i="10"/>
  <c r="O2" i="10"/>
  <c r="M2" i="10"/>
  <c r="L2" i="10"/>
  <c r="K2" i="10"/>
  <c r="J2" i="10"/>
  <c r="I2" i="10"/>
  <c r="G2" i="10"/>
  <c r="E2" i="10"/>
  <c r="D2" i="10"/>
  <c r="C2" i="10"/>
  <c r="B2" i="10"/>
  <c r="X90" i="50"/>
  <c r="W90" i="50"/>
  <c r="V90" i="50"/>
  <c r="U90" i="50"/>
  <c r="T90" i="50"/>
  <c r="S90" i="50"/>
  <c r="R90" i="50"/>
  <c r="X89" i="50"/>
  <c r="W89" i="50"/>
  <c r="V89" i="50"/>
  <c r="U89" i="50"/>
  <c r="T89" i="50"/>
  <c r="S89" i="50"/>
  <c r="P89" i="50"/>
  <c r="O89" i="50"/>
  <c r="P88" i="50"/>
  <c r="O88" i="50"/>
  <c r="M88" i="50"/>
  <c r="K88" i="50"/>
  <c r="J88" i="50"/>
  <c r="I88" i="50"/>
  <c r="G88" i="50"/>
  <c r="E88" i="50"/>
  <c r="D88" i="50"/>
  <c r="V88" i="50" s="1"/>
  <c r="C88" i="50"/>
  <c r="B88" i="50"/>
  <c r="P87" i="50"/>
  <c r="O87" i="50"/>
  <c r="M87" i="50"/>
  <c r="E87" i="50"/>
  <c r="D87" i="50"/>
  <c r="S87" i="50" s="1"/>
  <c r="C87" i="50"/>
  <c r="B87" i="50"/>
  <c r="P85" i="50"/>
  <c r="O85" i="50"/>
  <c r="M85" i="50"/>
  <c r="K85" i="50"/>
  <c r="J85" i="50"/>
  <c r="I85" i="50"/>
  <c r="G85" i="50"/>
  <c r="E85" i="50"/>
  <c r="D85" i="50"/>
  <c r="T85" i="50" s="1"/>
  <c r="C85" i="50"/>
  <c r="B85" i="50"/>
  <c r="P84" i="50"/>
  <c r="O84" i="50"/>
  <c r="M84" i="50"/>
  <c r="K84" i="50"/>
  <c r="J84" i="50"/>
  <c r="E84" i="50"/>
  <c r="D84" i="50"/>
  <c r="T84" i="50" s="1"/>
  <c r="C84" i="50"/>
  <c r="B84" i="50"/>
  <c r="P82" i="50"/>
  <c r="O82" i="50"/>
  <c r="M82" i="50"/>
  <c r="K82" i="50"/>
  <c r="J82" i="50"/>
  <c r="G82" i="50"/>
  <c r="E82" i="50"/>
  <c r="D82" i="50"/>
  <c r="C82" i="50"/>
  <c r="B82" i="50"/>
  <c r="P81" i="50"/>
  <c r="O81" i="50"/>
  <c r="M81" i="50"/>
  <c r="L81" i="50"/>
  <c r="K81" i="50"/>
  <c r="J81" i="50"/>
  <c r="I81" i="50"/>
  <c r="G81" i="50"/>
  <c r="E81" i="50"/>
  <c r="D81" i="50"/>
  <c r="V81" i="50" s="1"/>
  <c r="C81" i="50"/>
  <c r="B81" i="50"/>
  <c r="P80" i="50"/>
  <c r="O80" i="50"/>
  <c r="M80" i="50"/>
  <c r="K80" i="50"/>
  <c r="J80" i="50"/>
  <c r="I80" i="50"/>
  <c r="G80" i="50"/>
  <c r="E80" i="50"/>
  <c r="D80" i="50"/>
  <c r="W80" i="50" s="1"/>
  <c r="C80" i="50"/>
  <c r="B80" i="50"/>
  <c r="P79" i="50"/>
  <c r="O79" i="50"/>
  <c r="M79" i="50"/>
  <c r="K79" i="50"/>
  <c r="I79" i="50"/>
  <c r="G79" i="50"/>
  <c r="E79" i="50"/>
  <c r="D79" i="50"/>
  <c r="C79" i="50"/>
  <c r="B79" i="50"/>
  <c r="P78" i="50"/>
  <c r="O78" i="50"/>
  <c r="M78" i="50"/>
  <c r="K78" i="50"/>
  <c r="I78" i="50"/>
  <c r="G78" i="50"/>
  <c r="E78" i="50"/>
  <c r="D78" i="50"/>
  <c r="X78" i="50" s="1"/>
  <c r="C78" i="50"/>
  <c r="B78" i="50"/>
  <c r="P77" i="50"/>
  <c r="O77" i="50"/>
  <c r="M77" i="50"/>
  <c r="K77" i="50"/>
  <c r="I77" i="50"/>
  <c r="G77" i="50"/>
  <c r="E77" i="50"/>
  <c r="D77" i="50"/>
  <c r="S77" i="50" s="1"/>
  <c r="C77" i="50"/>
  <c r="B77" i="50"/>
  <c r="P75" i="50"/>
  <c r="O75" i="50"/>
  <c r="K75" i="50"/>
  <c r="I75" i="50"/>
  <c r="G75" i="50"/>
  <c r="E75" i="50"/>
  <c r="D75" i="50"/>
  <c r="C75" i="50"/>
  <c r="B75" i="50"/>
  <c r="P74" i="50"/>
  <c r="O74" i="50"/>
  <c r="M74" i="50"/>
  <c r="K74" i="50"/>
  <c r="J74" i="50"/>
  <c r="I74" i="50"/>
  <c r="G74" i="50"/>
  <c r="E74" i="50"/>
  <c r="D74" i="50"/>
  <c r="C74" i="50"/>
  <c r="B74" i="50"/>
  <c r="P73" i="50"/>
  <c r="O73" i="50"/>
  <c r="M73" i="50"/>
  <c r="K73" i="50"/>
  <c r="J73" i="50"/>
  <c r="I73" i="50"/>
  <c r="G73" i="50"/>
  <c r="E73" i="50"/>
  <c r="D73" i="50"/>
  <c r="T73" i="50" s="1"/>
  <c r="C73" i="50"/>
  <c r="B73" i="50"/>
  <c r="P69" i="50"/>
  <c r="O69" i="50"/>
  <c r="M69" i="50"/>
  <c r="L69" i="50"/>
  <c r="K69" i="50"/>
  <c r="J69" i="50"/>
  <c r="I69" i="50"/>
  <c r="G69" i="50"/>
  <c r="E69" i="50"/>
  <c r="D69" i="50"/>
  <c r="T69" i="50" s="1"/>
  <c r="C69" i="50"/>
  <c r="B69" i="50"/>
  <c r="P68" i="50"/>
  <c r="O68" i="50"/>
  <c r="M68" i="50"/>
  <c r="L68" i="50"/>
  <c r="K68" i="50"/>
  <c r="J68" i="50"/>
  <c r="I68" i="50"/>
  <c r="G68" i="50"/>
  <c r="E68" i="50"/>
  <c r="D68" i="50"/>
  <c r="V68" i="50" s="1"/>
  <c r="C68" i="50"/>
  <c r="B68" i="50"/>
  <c r="P67" i="50"/>
  <c r="O67" i="50"/>
  <c r="M67" i="50"/>
  <c r="L67" i="50"/>
  <c r="K67" i="50"/>
  <c r="J67" i="50"/>
  <c r="I67" i="50"/>
  <c r="G67" i="50"/>
  <c r="E67" i="50"/>
  <c r="D67" i="50"/>
  <c r="C67" i="50"/>
  <c r="B67" i="50"/>
  <c r="P66" i="50"/>
  <c r="O66" i="50"/>
  <c r="M66" i="50"/>
  <c r="K66" i="50"/>
  <c r="J66" i="50"/>
  <c r="I66" i="50"/>
  <c r="G66" i="50"/>
  <c r="E66" i="50"/>
  <c r="D66" i="50"/>
  <c r="V66" i="50" s="1"/>
  <c r="C66" i="50"/>
  <c r="B66" i="50"/>
  <c r="P65" i="50"/>
  <c r="O65" i="50"/>
  <c r="M65" i="50"/>
  <c r="K65" i="50"/>
  <c r="J65" i="50"/>
  <c r="I65" i="50"/>
  <c r="G65" i="50"/>
  <c r="E65" i="50"/>
  <c r="D65" i="50"/>
  <c r="V65" i="50" s="1"/>
  <c r="C65" i="50"/>
  <c r="B65" i="50"/>
  <c r="P64" i="50"/>
  <c r="O64" i="50"/>
  <c r="M64" i="50"/>
  <c r="G64" i="50"/>
  <c r="E64" i="50"/>
  <c r="D64" i="50"/>
  <c r="C64" i="50"/>
  <c r="B64" i="50"/>
  <c r="P63" i="50"/>
  <c r="O63" i="50"/>
  <c r="M63" i="50"/>
  <c r="K63" i="50"/>
  <c r="J63" i="50"/>
  <c r="G63" i="50"/>
  <c r="E63" i="50"/>
  <c r="D63" i="50"/>
  <c r="W63" i="50" s="1"/>
  <c r="C63" i="50"/>
  <c r="B63" i="50"/>
  <c r="P62" i="50"/>
  <c r="O62" i="50"/>
  <c r="K62" i="50"/>
  <c r="G62" i="50"/>
  <c r="E62" i="50"/>
  <c r="D62" i="50"/>
  <c r="X62" i="50" s="1"/>
  <c r="C62" i="50"/>
  <c r="B62" i="50"/>
  <c r="P60" i="50"/>
  <c r="O60" i="50"/>
  <c r="M60" i="50"/>
  <c r="K60" i="50"/>
  <c r="J60" i="50"/>
  <c r="I60" i="50"/>
  <c r="G60" i="50"/>
  <c r="E60" i="50"/>
  <c r="D60" i="50"/>
  <c r="U60" i="50" s="1"/>
  <c r="C60" i="50"/>
  <c r="B60" i="50"/>
  <c r="P59" i="50"/>
  <c r="O59" i="50"/>
  <c r="M59" i="50"/>
  <c r="K59" i="50"/>
  <c r="I59" i="50"/>
  <c r="G59" i="50"/>
  <c r="E59" i="50"/>
  <c r="D59" i="50"/>
  <c r="W59" i="50" s="1"/>
  <c r="C59" i="50"/>
  <c r="B59" i="50"/>
  <c r="O58" i="50"/>
  <c r="I58" i="50"/>
  <c r="G58" i="50"/>
  <c r="E58" i="50"/>
  <c r="D58" i="50"/>
  <c r="U58" i="50" s="1"/>
  <c r="C58" i="50"/>
  <c r="B58" i="50"/>
  <c r="P57" i="50"/>
  <c r="O57" i="50"/>
  <c r="M57" i="50"/>
  <c r="K57" i="50"/>
  <c r="I57" i="50"/>
  <c r="G57" i="50"/>
  <c r="E57" i="50"/>
  <c r="D57" i="50"/>
  <c r="X57" i="50" s="1"/>
  <c r="C57" i="50"/>
  <c r="B57" i="50"/>
  <c r="P56" i="50"/>
  <c r="O56" i="50"/>
  <c r="M56" i="50"/>
  <c r="L56" i="50"/>
  <c r="K56" i="50"/>
  <c r="J56" i="50"/>
  <c r="I56" i="50"/>
  <c r="G56" i="50"/>
  <c r="E56" i="50"/>
  <c r="D56" i="50"/>
  <c r="W56" i="50" s="1"/>
  <c r="C56" i="50"/>
  <c r="B56" i="50"/>
  <c r="P55" i="50"/>
  <c r="O55" i="50"/>
  <c r="M55" i="50"/>
  <c r="G55" i="50"/>
  <c r="E55" i="50"/>
  <c r="D55" i="50"/>
  <c r="X55" i="50" s="1"/>
  <c r="C55" i="50"/>
  <c r="B55" i="50"/>
  <c r="P54" i="50"/>
  <c r="O54" i="50"/>
  <c r="M54" i="50"/>
  <c r="K54" i="50"/>
  <c r="G54" i="50"/>
  <c r="E54" i="50"/>
  <c r="D54" i="50"/>
  <c r="U54" i="50" s="1"/>
  <c r="C54" i="50"/>
  <c r="B54" i="50"/>
  <c r="P53" i="50"/>
  <c r="O53" i="50"/>
  <c r="M53" i="50"/>
  <c r="K53" i="50"/>
  <c r="J53" i="50"/>
  <c r="I53" i="50"/>
  <c r="G53" i="50"/>
  <c r="E53" i="50"/>
  <c r="D53" i="50"/>
  <c r="X53" i="50" s="1"/>
  <c r="C53" i="50"/>
  <c r="B53" i="50"/>
  <c r="P52" i="50"/>
  <c r="O52" i="50"/>
  <c r="M52" i="50"/>
  <c r="L52" i="50"/>
  <c r="K52" i="50"/>
  <c r="J52" i="50"/>
  <c r="I52" i="50"/>
  <c r="G52" i="50"/>
  <c r="E52" i="50"/>
  <c r="D52" i="50"/>
  <c r="U52" i="50" s="1"/>
  <c r="C52" i="50"/>
  <c r="B52" i="50"/>
  <c r="P51" i="50"/>
  <c r="O51" i="50"/>
  <c r="M51" i="50"/>
  <c r="K51" i="50"/>
  <c r="J51" i="50"/>
  <c r="E51" i="50"/>
  <c r="D51" i="50"/>
  <c r="U51" i="50" s="1"/>
  <c r="C51" i="50"/>
  <c r="B51" i="50"/>
  <c r="P50" i="50"/>
  <c r="O50" i="50"/>
  <c r="M50" i="50"/>
  <c r="K50" i="50"/>
  <c r="I50" i="50"/>
  <c r="E50" i="50"/>
  <c r="D50" i="50"/>
  <c r="X50" i="50" s="1"/>
  <c r="C50" i="50"/>
  <c r="B50" i="50"/>
  <c r="P49" i="50"/>
  <c r="O49" i="50"/>
  <c r="M49" i="50"/>
  <c r="K49" i="50"/>
  <c r="I49" i="50"/>
  <c r="G49" i="50"/>
  <c r="E49" i="50"/>
  <c r="D49" i="50"/>
  <c r="T49" i="50" s="1"/>
  <c r="C49" i="50"/>
  <c r="B49" i="50"/>
  <c r="P48" i="50"/>
  <c r="O48" i="50"/>
  <c r="M48" i="50"/>
  <c r="L48" i="50"/>
  <c r="K48" i="50"/>
  <c r="J48" i="50"/>
  <c r="I48" i="50"/>
  <c r="G48" i="50"/>
  <c r="E48" i="50"/>
  <c r="D48" i="50"/>
  <c r="V48" i="50" s="1"/>
  <c r="C48" i="50"/>
  <c r="B48" i="50"/>
  <c r="P46" i="50"/>
  <c r="O46" i="50"/>
  <c r="M46" i="50"/>
  <c r="K46" i="50"/>
  <c r="J46" i="50"/>
  <c r="I46" i="50"/>
  <c r="G46" i="50"/>
  <c r="E46" i="50"/>
  <c r="D46" i="50"/>
  <c r="W46" i="50" s="1"/>
  <c r="C46" i="50"/>
  <c r="B46" i="50"/>
  <c r="P45" i="50"/>
  <c r="O45" i="50"/>
  <c r="M45" i="50"/>
  <c r="K45" i="50"/>
  <c r="J45" i="50"/>
  <c r="I45" i="50"/>
  <c r="G45" i="50"/>
  <c r="E45" i="50"/>
  <c r="D45" i="50"/>
  <c r="W45" i="50" s="1"/>
  <c r="C45" i="50"/>
  <c r="B45" i="50"/>
  <c r="P44" i="50"/>
  <c r="O44" i="50"/>
  <c r="K44" i="50"/>
  <c r="I44" i="50"/>
  <c r="E44" i="50"/>
  <c r="D44" i="50"/>
  <c r="T44" i="50" s="1"/>
  <c r="C44" i="50"/>
  <c r="B44" i="50"/>
  <c r="P43" i="50"/>
  <c r="O43" i="50"/>
  <c r="K43" i="50"/>
  <c r="G43" i="50"/>
  <c r="E43" i="50"/>
  <c r="D43" i="50"/>
  <c r="C43" i="50"/>
  <c r="B43" i="50"/>
  <c r="P42" i="50"/>
  <c r="O42" i="50"/>
  <c r="K42" i="50"/>
  <c r="E42" i="50"/>
  <c r="D42" i="50"/>
  <c r="W42" i="50" s="1"/>
  <c r="C42" i="50"/>
  <c r="B42" i="50"/>
  <c r="P41" i="50"/>
  <c r="O41" i="50"/>
  <c r="K41" i="50"/>
  <c r="I41" i="50"/>
  <c r="G41" i="50"/>
  <c r="E41" i="50"/>
  <c r="D41" i="50"/>
  <c r="X41" i="50" s="1"/>
  <c r="C41" i="50"/>
  <c r="B41" i="50"/>
  <c r="O40" i="50"/>
  <c r="M40" i="50"/>
  <c r="K40" i="50"/>
  <c r="I40" i="50"/>
  <c r="G40" i="50"/>
  <c r="E40" i="50"/>
  <c r="D40" i="50"/>
  <c r="T40" i="50" s="1"/>
  <c r="C40" i="50"/>
  <c r="B40" i="50"/>
  <c r="O39" i="50"/>
  <c r="M39" i="50"/>
  <c r="K39" i="50"/>
  <c r="I39" i="50"/>
  <c r="G39" i="50"/>
  <c r="E39" i="50"/>
  <c r="D39" i="50"/>
  <c r="V39" i="50" s="1"/>
  <c r="C39" i="50"/>
  <c r="B39" i="50"/>
  <c r="P38" i="50"/>
  <c r="O38" i="50"/>
  <c r="K38" i="50"/>
  <c r="I38" i="50"/>
  <c r="G38" i="50"/>
  <c r="E38" i="50"/>
  <c r="D38" i="50"/>
  <c r="U38" i="50" s="1"/>
  <c r="C38" i="50"/>
  <c r="B38" i="50"/>
  <c r="P37" i="50"/>
  <c r="O37" i="50"/>
  <c r="M37" i="50"/>
  <c r="L37" i="50"/>
  <c r="K37" i="50"/>
  <c r="J37" i="50"/>
  <c r="I37" i="50"/>
  <c r="G37" i="50"/>
  <c r="E37" i="50"/>
  <c r="D37" i="50"/>
  <c r="W37" i="50" s="1"/>
  <c r="C37" i="50"/>
  <c r="B37" i="50"/>
  <c r="P36" i="50"/>
  <c r="O36" i="50"/>
  <c r="M36" i="50"/>
  <c r="K36" i="50"/>
  <c r="J36" i="50"/>
  <c r="I36" i="50"/>
  <c r="G36" i="50"/>
  <c r="E36" i="50"/>
  <c r="D36" i="50"/>
  <c r="W36" i="50" s="1"/>
  <c r="C36" i="50"/>
  <c r="B36" i="50"/>
  <c r="P34" i="50"/>
  <c r="O34" i="50"/>
  <c r="E34" i="50"/>
  <c r="D34" i="50"/>
  <c r="V34" i="50" s="1"/>
  <c r="C34" i="50"/>
  <c r="B34" i="50"/>
  <c r="P33" i="50"/>
  <c r="O33" i="50"/>
  <c r="M33" i="50"/>
  <c r="K33" i="50"/>
  <c r="J33" i="50"/>
  <c r="I33" i="50"/>
  <c r="G33" i="50"/>
  <c r="E33" i="50"/>
  <c r="D33" i="50"/>
  <c r="U33" i="50" s="1"/>
  <c r="C33" i="50"/>
  <c r="B33" i="50"/>
  <c r="P29" i="50"/>
  <c r="O29" i="50"/>
  <c r="M29" i="50"/>
  <c r="K29" i="50"/>
  <c r="J29" i="50"/>
  <c r="I29" i="50"/>
  <c r="G29" i="50"/>
  <c r="E29" i="50"/>
  <c r="D29" i="50"/>
  <c r="U29" i="50" s="1"/>
  <c r="C29" i="50"/>
  <c r="B29" i="50"/>
  <c r="P28" i="50"/>
  <c r="O28" i="50"/>
  <c r="M28" i="50"/>
  <c r="K28" i="50"/>
  <c r="J28" i="50"/>
  <c r="G28" i="50"/>
  <c r="E28" i="50"/>
  <c r="D28" i="50"/>
  <c r="W28" i="50" s="1"/>
  <c r="C28" i="50"/>
  <c r="B28" i="50"/>
  <c r="P27" i="50"/>
  <c r="O27" i="50"/>
  <c r="M27" i="50"/>
  <c r="I27" i="50"/>
  <c r="G27" i="50"/>
  <c r="E27" i="50"/>
  <c r="D27" i="50"/>
  <c r="W27" i="50" s="1"/>
  <c r="C27" i="50"/>
  <c r="B27" i="50"/>
  <c r="P26" i="50"/>
  <c r="O26" i="50"/>
  <c r="M26" i="50"/>
  <c r="G26" i="50"/>
  <c r="E26" i="50"/>
  <c r="D26" i="50"/>
  <c r="W26" i="50" s="1"/>
  <c r="C26" i="50"/>
  <c r="B26" i="50"/>
  <c r="P25" i="50"/>
  <c r="O25" i="50"/>
  <c r="M25" i="50"/>
  <c r="K25" i="50"/>
  <c r="J25" i="50"/>
  <c r="I25" i="50"/>
  <c r="G25" i="50"/>
  <c r="E25" i="50"/>
  <c r="D25" i="50"/>
  <c r="X25" i="50" s="1"/>
  <c r="C25" i="50"/>
  <c r="B25" i="50"/>
  <c r="P24" i="50"/>
  <c r="O24" i="50"/>
  <c r="M24" i="50"/>
  <c r="L24" i="50"/>
  <c r="K24" i="50"/>
  <c r="J24" i="50"/>
  <c r="I24" i="50"/>
  <c r="G24" i="50"/>
  <c r="E24" i="50"/>
  <c r="D24" i="50"/>
  <c r="V24" i="50" s="1"/>
  <c r="C24" i="50"/>
  <c r="B24" i="50"/>
  <c r="P23" i="50"/>
  <c r="O23" i="50"/>
  <c r="M23" i="50"/>
  <c r="J23" i="50"/>
  <c r="I23" i="50"/>
  <c r="G23" i="50"/>
  <c r="E23" i="50"/>
  <c r="D23" i="50"/>
  <c r="U23" i="50" s="1"/>
  <c r="C23" i="50"/>
  <c r="B23" i="50"/>
  <c r="P22" i="50"/>
  <c r="O22" i="50"/>
  <c r="M22" i="50"/>
  <c r="K22" i="50"/>
  <c r="I22" i="50"/>
  <c r="G22" i="50"/>
  <c r="E22" i="50"/>
  <c r="D22" i="50"/>
  <c r="C22" i="50"/>
  <c r="B22" i="50"/>
  <c r="P21" i="50"/>
  <c r="O21" i="50"/>
  <c r="M21" i="50"/>
  <c r="K21" i="50"/>
  <c r="I21" i="50"/>
  <c r="G21" i="50"/>
  <c r="E21" i="50"/>
  <c r="D21" i="50"/>
  <c r="W21" i="50" s="1"/>
  <c r="C21" i="50"/>
  <c r="B21" i="50"/>
  <c r="P20" i="50"/>
  <c r="O20" i="50"/>
  <c r="M20" i="50"/>
  <c r="K20" i="50"/>
  <c r="J20" i="50"/>
  <c r="I20" i="50"/>
  <c r="G20" i="50"/>
  <c r="E20" i="50"/>
  <c r="D20" i="50"/>
  <c r="V20" i="50" s="1"/>
  <c r="C20" i="50"/>
  <c r="B20" i="50"/>
  <c r="P19" i="50"/>
  <c r="O19" i="50"/>
  <c r="M19" i="50"/>
  <c r="K19" i="50"/>
  <c r="J19" i="50"/>
  <c r="I19" i="50"/>
  <c r="G19" i="50"/>
  <c r="E19" i="50"/>
  <c r="D19" i="50"/>
  <c r="C19" i="50"/>
  <c r="B19" i="50"/>
  <c r="P16" i="50"/>
  <c r="O16" i="50"/>
  <c r="M16" i="50"/>
  <c r="L16" i="50"/>
  <c r="K16" i="50"/>
  <c r="J16" i="50"/>
  <c r="I16" i="50"/>
  <c r="G16" i="50"/>
  <c r="E16" i="50"/>
  <c r="D16" i="50"/>
  <c r="W16" i="50" s="1"/>
  <c r="C16" i="50"/>
  <c r="B16" i="50"/>
  <c r="P15" i="50"/>
  <c r="O15" i="50"/>
  <c r="M15" i="50"/>
  <c r="L15" i="50"/>
  <c r="K15" i="50"/>
  <c r="J15" i="50"/>
  <c r="I15" i="50"/>
  <c r="G15" i="50"/>
  <c r="E15" i="50"/>
  <c r="D15" i="50"/>
  <c r="T15" i="50" s="1"/>
  <c r="C15" i="50"/>
  <c r="B15" i="50"/>
  <c r="P14" i="50"/>
  <c r="O14" i="50"/>
  <c r="M14" i="50"/>
  <c r="L14" i="50"/>
  <c r="K14" i="50"/>
  <c r="J14" i="50"/>
  <c r="I14" i="50"/>
  <c r="G14" i="50"/>
  <c r="E14" i="50"/>
  <c r="D14" i="50"/>
  <c r="C14" i="50"/>
  <c r="B14" i="50"/>
  <c r="P13" i="50"/>
  <c r="O13" i="50"/>
  <c r="M13" i="50"/>
  <c r="L13" i="50"/>
  <c r="K13" i="50"/>
  <c r="J13" i="50"/>
  <c r="I13" i="50"/>
  <c r="G13" i="50"/>
  <c r="E13" i="50"/>
  <c r="D13" i="50"/>
  <c r="U13" i="50" s="1"/>
  <c r="C13" i="50"/>
  <c r="B13" i="50"/>
  <c r="P12" i="50"/>
  <c r="O12" i="50"/>
  <c r="M12" i="50"/>
  <c r="L12" i="50"/>
  <c r="K12" i="50"/>
  <c r="J12" i="50"/>
  <c r="I12" i="50"/>
  <c r="G12" i="50"/>
  <c r="E12" i="50"/>
  <c r="D12" i="50"/>
  <c r="X12" i="50" s="1"/>
  <c r="C12" i="50"/>
  <c r="B12" i="50"/>
  <c r="P11" i="50"/>
  <c r="O11" i="50"/>
  <c r="M11" i="50"/>
  <c r="L11" i="50"/>
  <c r="K11" i="50"/>
  <c r="J11" i="50"/>
  <c r="I11" i="50"/>
  <c r="G11" i="50"/>
  <c r="E11" i="50"/>
  <c r="D11" i="50"/>
  <c r="V11" i="50" s="1"/>
  <c r="C11" i="50"/>
  <c r="B11" i="50"/>
  <c r="P10" i="50"/>
  <c r="O10" i="50"/>
  <c r="M10" i="50"/>
  <c r="K10" i="50"/>
  <c r="J10" i="50"/>
  <c r="I10" i="50"/>
  <c r="G10" i="50"/>
  <c r="E10" i="50"/>
  <c r="D10" i="50"/>
  <c r="U10" i="50" s="1"/>
  <c r="C10" i="50"/>
  <c r="B10" i="50"/>
  <c r="P9" i="50"/>
  <c r="O9" i="50"/>
  <c r="M9" i="50"/>
  <c r="L9" i="50"/>
  <c r="K9" i="50"/>
  <c r="J9" i="50"/>
  <c r="I9" i="50"/>
  <c r="G9" i="50"/>
  <c r="E9" i="50"/>
  <c r="D9" i="50"/>
  <c r="C9" i="50"/>
  <c r="B9" i="50"/>
  <c r="P8" i="50"/>
  <c r="O8" i="50"/>
  <c r="M8" i="50"/>
  <c r="K8" i="50"/>
  <c r="J8" i="50"/>
  <c r="I8" i="50"/>
  <c r="G8" i="50"/>
  <c r="E8" i="50"/>
  <c r="D8" i="50"/>
  <c r="W8" i="50" s="1"/>
  <c r="C8" i="50"/>
  <c r="B8" i="50"/>
  <c r="P7" i="50"/>
  <c r="O7" i="50"/>
  <c r="M7" i="50"/>
  <c r="K7" i="50"/>
  <c r="I7" i="50"/>
  <c r="G7" i="50"/>
  <c r="E7" i="50"/>
  <c r="D7" i="50"/>
  <c r="T7" i="50" s="1"/>
  <c r="C7" i="50"/>
  <c r="B7" i="50"/>
  <c r="P6" i="50"/>
  <c r="O6" i="50"/>
  <c r="M6" i="50"/>
  <c r="L6" i="50"/>
  <c r="K6" i="50"/>
  <c r="J6" i="50"/>
  <c r="I6" i="50"/>
  <c r="G6" i="50"/>
  <c r="E6" i="50"/>
  <c r="D6" i="50"/>
  <c r="U6" i="50" s="1"/>
  <c r="C6" i="50"/>
  <c r="B6" i="50"/>
  <c r="P5" i="50"/>
  <c r="O5" i="50"/>
  <c r="M5" i="50"/>
  <c r="K5" i="50"/>
  <c r="J5" i="50"/>
  <c r="I5" i="50"/>
  <c r="G5" i="50"/>
  <c r="E5" i="50"/>
  <c r="D5" i="50"/>
  <c r="T5" i="50" s="1"/>
  <c r="C5" i="50"/>
  <c r="B5" i="50"/>
  <c r="P4" i="50"/>
  <c r="O4" i="50"/>
  <c r="M4" i="50"/>
  <c r="L4" i="50"/>
  <c r="K4" i="50"/>
  <c r="J4" i="50"/>
  <c r="I4" i="50"/>
  <c r="G4" i="50"/>
  <c r="E4" i="50"/>
  <c r="D4" i="50"/>
  <c r="C4" i="50"/>
  <c r="B4" i="50"/>
  <c r="P3" i="50"/>
  <c r="O3" i="50"/>
  <c r="M3" i="50"/>
  <c r="K3" i="50"/>
  <c r="J3" i="50"/>
  <c r="I3" i="50"/>
  <c r="G3" i="50"/>
  <c r="N3" i="50" s="1"/>
  <c r="E3" i="50"/>
  <c r="D3" i="50"/>
  <c r="W3" i="50" s="1"/>
  <c r="C3" i="50"/>
  <c r="B3" i="50"/>
  <c r="P2" i="50"/>
  <c r="O2" i="50"/>
  <c r="M2" i="50"/>
  <c r="L2" i="50"/>
  <c r="K2" i="50"/>
  <c r="J2" i="50"/>
  <c r="I2" i="50"/>
  <c r="G2" i="50"/>
  <c r="E2" i="50"/>
  <c r="D2" i="50"/>
  <c r="V2" i="50" s="1"/>
  <c r="B2" i="50"/>
  <c r="D11" i="53"/>
  <c r="C4" i="53"/>
  <c r="C7" i="53" s="1"/>
  <c r="B3" i="53"/>
  <c r="D11" i="52"/>
  <c r="B3" i="52"/>
  <c r="C4" i="52" s="1"/>
  <c r="T34" i="2"/>
  <c r="S34" i="2"/>
  <c r="R34" i="2"/>
  <c r="Q34" i="2"/>
  <c r="P34" i="2"/>
  <c r="B7" i="2"/>
  <c r="C8" i="2" s="1"/>
  <c r="B3" i="2"/>
  <c r="C4" i="2" s="1"/>
  <c r="Q12" i="10" l="1"/>
  <c r="R12" i="10"/>
  <c r="R13" i="10"/>
  <c r="Q14" i="10"/>
  <c r="R14" i="10"/>
  <c r="Q16" i="10"/>
  <c r="R16" i="10"/>
  <c r="G100" i="10"/>
  <c r="N39" i="10"/>
  <c r="J39" i="50"/>
  <c r="B22" i="23"/>
  <c r="H107" i="10"/>
  <c r="G107" i="10"/>
  <c r="Q15" i="10"/>
  <c r="R15" i="10"/>
  <c r="L5" i="50"/>
  <c r="N5" i="10"/>
  <c r="G92" i="10"/>
  <c r="L5" i="10"/>
  <c r="B26" i="72"/>
  <c r="B26" i="84"/>
  <c r="B26" i="85"/>
  <c r="B26" i="83"/>
  <c r="B26" i="108"/>
  <c r="B26" i="104"/>
  <c r="B26" i="103"/>
  <c r="B26" i="107"/>
  <c r="B26" i="106"/>
  <c r="B26" i="102"/>
  <c r="B26" i="105"/>
  <c r="B26" i="101"/>
  <c r="B26" i="100"/>
  <c r="B26" i="99"/>
  <c r="B26" i="18"/>
  <c r="B26" i="20"/>
  <c r="B26" i="66"/>
  <c r="B26" i="58"/>
  <c r="B26" i="80"/>
  <c r="B26" i="97"/>
  <c r="B26" i="87"/>
  <c r="B26" i="21"/>
  <c r="B26" i="24"/>
  <c r="B26" i="27"/>
  <c r="B26" i="36"/>
  <c r="B26" i="5"/>
  <c r="B26" i="14"/>
  <c r="B26" i="77"/>
  <c r="B26" i="88"/>
  <c r="B26" i="55"/>
  <c r="B26" i="98"/>
  <c r="B26" i="48"/>
  <c r="B26" i="3"/>
  <c r="B26" i="7"/>
  <c r="B26" i="13"/>
  <c r="B26" i="76"/>
  <c r="B26" i="82"/>
  <c r="B26" i="46"/>
  <c r="B26" i="54"/>
  <c r="B26" i="45"/>
  <c r="B26" i="19"/>
  <c r="B26" i="59"/>
  <c r="B26" i="26"/>
  <c r="B26" i="86"/>
  <c r="B26" i="1"/>
  <c r="B26" i="12"/>
  <c r="B26" i="81"/>
  <c r="B26" i="68"/>
  <c r="B26" i="96"/>
  <c r="J38" i="50"/>
  <c r="B18" i="22"/>
  <c r="Q38" i="51"/>
  <c r="J38" i="10"/>
  <c r="Q2" i="51"/>
  <c r="Q25" i="51"/>
  <c r="Q26" i="51"/>
  <c r="Q33" i="51"/>
  <c r="G82" i="51"/>
  <c r="Q5" i="51"/>
  <c r="Q6" i="51"/>
  <c r="Q24" i="51"/>
  <c r="R7" i="51"/>
  <c r="U7" i="51" s="1"/>
  <c r="Q7" i="51"/>
  <c r="R41" i="51"/>
  <c r="U41" i="51" s="1"/>
  <c r="Q41" i="51"/>
  <c r="R46" i="51"/>
  <c r="U46" i="51" s="1"/>
  <c r="Q46" i="51"/>
  <c r="R49" i="51"/>
  <c r="U49" i="51" s="1"/>
  <c r="Q49" i="51"/>
  <c r="R50" i="51"/>
  <c r="U50" i="51" s="1"/>
  <c r="Q50" i="51"/>
  <c r="R56" i="51"/>
  <c r="U56" i="51" s="1"/>
  <c r="Q56" i="51"/>
  <c r="R59" i="51"/>
  <c r="S59" i="51" s="1"/>
  <c r="Q59" i="51"/>
  <c r="R62" i="51"/>
  <c r="U62" i="51" s="1"/>
  <c r="Q62" i="51"/>
  <c r="R66" i="51"/>
  <c r="W66" i="51" s="1"/>
  <c r="Q66" i="51"/>
  <c r="R67" i="51"/>
  <c r="W67" i="51" s="1"/>
  <c r="Q67" i="51"/>
  <c r="Q19" i="51"/>
  <c r="Q29" i="51"/>
  <c r="Q36" i="51"/>
  <c r="Q37" i="51"/>
  <c r="R51" i="51"/>
  <c r="X51" i="51" s="1"/>
  <c r="Q51" i="51"/>
  <c r="R65" i="51"/>
  <c r="W65" i="51" s="1"/>
  <c r="Q65" i="51"/>
  <c r="R81" i="51"/>
  <c r="U81" i="51" s="1"/>
  <c r="Q81" i="51"/>
  <c r="R88" i="51"/>
  <c r="T88" i="51" s="1"/>
  <c r="Q88" i="51"/>
  <c r="R4" i="51"/>
  <c r="X4" i="51" s="1"/>
  <c r="Q4" i="51"/>
  <c r="R9" i="51"/>
  <c r="S9" i="51" s="1"/>
  <c r="Q9" i="51"/>
  <c r="R10" i="51"/>
  <c r="T10" i="51" s="1"/>
  <c r="Q10" i="51"/>
  <c r="R11" i="51"/>
  <c r="X11" i="51" s="1"/>
  <c r="Q11" i="51"/>
  <c r="R12" i="51"/>
  <c r="Q12" i="51"/>
  <c r="R13" i="51"/>
  <c r="Q13" i="51"/>
  <c r="R14" i="51"/>
  <c r="X14" i="51" s="1"/>
  <c r="Q14" i="51"/>
  <c r="R15" i="51"/>
  <c r="X15" i="51" s="1"/>
  <c r="Q15" i="51"/>
  <c r="R16" i="51"/>
  <c r="X16" i="51" s="1"/>
  <c r="Q16" i="51"/>
  <c r="R28" i="51"/>
  <c r="X28" i="51" s="1"/>
  <c r="Q28" i="51"/>
  <c r="R39" i="51"/>
  <c r="X39" i="51" s="1"/>
  <c r="Q39" i="51"/>
  <c r="R43" i="51"/>
  <c r="U43" i="51" s="1"/>
  <c r="Q43" i="51"/>
  <c r="R45" i="51"/>
  <c r="Q45" i="51"/>
  <c r="R48" i="51"/>
  <c r="U48" i="51" s="1"/>
  <c r="Q48" i="51"/>
  <c r="R57" i="51"/>
  <c r="S57" i="51" s="1"/>
  <c r="Q57" i="51"/>
  <c r="R63" i="51"/>
  <c r="S63" i="51" s="1"/>
  <c r="Q63" i="51"/>
  <c r="R64" i="51"/>
  <c r="Q64" i="51"/>
  <c r="R80" i="51"/>
  <c r="U80" i="51" s="1"/>
  <c r="Q80" i="51"/>
  <c r="R82" i="51"/>
  <c r="Q82" i="51"/>
  <c r="R3" i="51"/>
  <c r="Q3" i="51"/>
  <c r="Q20" i="51"/>
  <c r="R40" i="51"/>
  <c r="Q40" i="51"/>
  <c r="R42" i="51"/>
  <c r="U42" i="51" s="1"/>
  <c r="Q42" i="51"/>
  <c r="R44" i="51"/>
  <c r="Q44" i="51"/>
  <c r="R52" i="51"/>
  <c r="T52" i="51" s="1"/>
  <c r="Q52" i="51"/>
  <c r="R58" i="51"/>
  <c r="Q58" i="51"/>
  <c r="R60" i="51"/>
  <c r="T60" i="51" s="1"/>
  <c r="Q60" i="51"/>
  <c r="Q73" i="51"/>
  <c r="Q74" i="51"/>
  <c r="R77" i="51"/>
  <c r="U77" i="51" s="1"/>
  <c r="Q77" i="51"/>
  <c r="Q84" i="51"/>
  <c r="Q85" i="51"/>
  <c r="Q87" i="51"/>
  <c r="R89" i="51"/>
  <c r="Q89" i="51"/>
  <c r="R8" i="51"/>
  <c r="U8" i="51" s="1"/>
  <c r="Q8" i="51"/>
  <c r="Q5" i="10"/>
  <c r="Q6" i="10"/>
  <c r="Q19" i="10"/>
  <c r="N20" i="10"/>
  <c r="AK2" i="50"/>
  <c r="AD2" i="50"/>
  <c r="BQ2" i="50"/>
  <c r="BM2" i="50"/>
  <c r="BH2" i="50"/>
  <c r="BD2" i="50"/>
  <c r="AY2" i="50"/>
  <c r="AT2" i="50"/>
  <c r="AP2" i="50"/>
  <c r="AJ2" i="50"/>
  <c r="AE2" i="50"/>
  <c r="Z2" i="50"/>
  <c r="BO2" i="50"/>
  <c r="BF2" i="50"/>
  <c r="AW2" i="50"/>
  <c r="AN2" i="50"/>
  <c r="AB2" i="50"/>
  <c r="BR2" i="50"/>
  <c r="BI2" i="50"/>
  <c r="AZ2" i="50"/>
  <c r="AQ2" i="50"/>
  <c r="AL2" i="50"/>
  <c r="AA2" i="50"/>
  <c r="Q2" i="50"/>
  <c r="BP2" i="50"/>
  <c r="BL2" i="50"/>
  <c r="BG2" i="50"/>
  <c r="BB2" i="50"/>
  <c r="AX2" i="50"/>
  <c r="AS2" i="50"/>
  <c r="AO2" i="50"/>
  <c r="AI2" i="50"/>
  <c r="AC2" i="50"/>
  <c r="BJ2" i="50"/>
  <c r="BA2" i="50"/>
  <c r="AR2" i="50"/>
  <c r="AH2" i="50"/>
  <c r="BN2" i="50"/>
  <c r="BE2" i="50"/>
  <c r="AV2" i="50"/>
  <c r="AG2" i="50"/>
  <c r="AD29" i="50"/>
  <c r="AK29" i="50"/>
  <c r="BR29" i="50"/>
  <c r="BN29" i="50"/>
  <c r="BI29" i="50"/>
  <c r="BE29" i="50"/>
  <c r="AZ29" i="50"/>
  <c r="AV29" i="50"/>
  <c r="AQ29" i="50"/>
  <c r="AL29" i="50"/>
  <c r="AG29" i="50"/>
  <c r="AA29" i="50"/>
  <c r="BQ29" i="50"/>
  <c r="BM29" i="50"/>
  <c r="BH29" i="50"/>
  <c r="BD29" i="50"/>
  <c r="AY29" i="50"/>
  <c r="AT29" i="50"/>
  <c r="AP29" i="50"/>
  <c r="AJ29" i="50"/>
  <c r="AE29" i="50"/>
  <c r="Z29" i="50"/>
  <c r="BJ29" i="50"/>
  <c r="BA29" i="50"/>
  <c r="AR29" i="50"/>
  <c r="AH29" i="50"/>
  <c r="Q29" i="50"/>
  <c r="AN29" i="50"/>
  <c r="BL29" i="50"/>
  <c r="AS29" i="50"/>
  <c r="BP29" i="50"/>
  <c r="BG29" i="50"/>
  <c r="AX29" i="50"/>
  <c r="AO29" i="50"/>
  <c r="AC29" i="50"/>
  <c r="BO29" i="50"/>
  <c r="BF29" i="50"/>
  <c r="AW29" i="50"/>
  <c r="AB29" i="50"/>
  <c r="BB29" i="50"/>
  <c r="AI29" i="50"/>
  <c r="AD36" i="50"/>
  <c r="BR36" i="50"/>
  <c r="BN36" i="50"/>
  <c r="BI36" i="50"/>
  <c r="BE36" i="50"/>
  <c r="AZ36" i="50"/>
  <c r="AV36" i="50"/>
  <c r="AQ36" i="50"/>
  <c r="AL36" i="50"/>
  <c r="AG36" i="50"/>
  <c r="AA36" i="50"/>
  <c r="BQ36" i="50"/>
  <c r="BM36" i="50"/>
  <c r="BH36" i="50"/>
  <c r="BD36" i="50"/>
  <c r="AY36" i="50"/>
  <c r="AT36" i="50"/>
  <c r="AP36" i="50"/>
  <c r="AJ36" i="50"/>
  <c r="AE36" i="50"/>
  <c r="Z36" i="50"/>
  <c r="BO36" i="50"/>
  <c r="BF36" i="50"/>
  <c r="AW36" i="50"/>
  <c r="AN36" i="50"/>
  <c r="AB36" i="50"/>
  <c r="Q36" i="50"/>
  <c r="BG36" i="50"/>
  <c r="AC36" i="50"/>
  <c r="BL36" i="50"/>
  <c r="BB36" i="50"/>
  <c r="AS36" i="50"/>
  <c r="AI36" i="50"/>
  <c r="BJ36" i="50"/>
  <c r="BA36" i="50"/>
  <c r="AR36" i="50"/>
  <c r="AH36" i="50"/>
  <c r="AK36" i="50"/>
  <c r="BP36" i="50"/>
  <c r="AX36" i="50"/>
  <c r="AO36" i="50"/>
  <c r="AD37" i="50"/>
  <c r="AK37" i="50"/>
  <c r="BP37" i="50"/>
  <c r="BL37" i="50"/>
  <c r="BG37" i="50"/>
  <c r="BN37" i="50"/>
  <c r="BH37" i="50"/>
  <c r="BB37" i="50"/>
  <c r="AX37" i="50"/>
  <c r="AS37" i="50"/>
  <c r="AO37" i="50"/>
  <c r="AI37" i="50"/>
  <c r="AC37" i="50"/>
  <c r="BR37" i="50"/>
  <c r="BM37" i="50"/>
  <c r="BF37" i="50"/>
  <c r="BA37" i="50"/>
  <c r="AW37" i="50"/>
  <c r="AR37" i="50"/>
  <c r="AN37" i="50"/>
  <c r="AH37" i="50"/>
  <c r="AB37" i="50"/>
  <c r="BI37" i="50"/>
  <c r="AY37" i="50"/>
  <c r="AP37" i="50"/>
  <c r="AE37" i="50"/>
  <c r="AZ37" i="50"/>
  <c r="AG37" i="50"/>
  <c r="BQ37" i="50"/>
  <c r="BE37" i="50"/>
  <c r="AV37" i="50"/>
  <c r="AL37" i="50"/>
  <c r="AA37" i="50"/>
  <c r="BO37" i="50"/>
  <c r="BD37" i="50"/>
  <c r="AT37" i="50"/>
  <c r="AJ37" i="50"/>
  <c r="Z37" i="50"/>
  <c r="BJ37" i="50"/>
  <c r="AQ37" i="50"/>
  <c r="Q37" i="50"/>
  <c r="R46" i="50"/>
  <c r="AK46" i="50"/>
  <c r="AD46" i="50"/>
  <c r="BO46" i="50"/>
  <c r="BJ46" i="50"/>
  <c r="BF46" i="50"/>
  <c r="BA46" i="50"/>
  <c r="AW46" i="50"/>
  <c r="AR46" i="50"/>
  <c r="AN46" i="50"/>
  <c r="AH46" i="50"/>
  <c r="AB46" i="50"/>
  <c r="BR46" i="50"/>
  <c r="BN46" i="50"/>
  <c r="BI46" i="50"/>
  <c r="BE46" i="50"/>
  <c r="AZ46" i="50"/>
  <c r="AV46" i="50"/>
  <c r="AQ46" i="50"/>
  <c r="AL46" i="50"/>
  <c r="AG46" i="50"/>
  <c r="AA46" i="50"/>
  <c r="BQ46" i="50"/>
  <c r="BH46" i="50"/>
  <c r="AY46" i="50"/>
  <c r="AP46" i="50"/>
  <c r="AE46" i="50"/>
  <c r="BP46" i="50"/>
  <c r="BG46" i="50"/>
  <c r="AX46" i="50"/>
  <c r="AO46" i="50"/>
  <c r="AC46" i="50"/>
  <c r="BB46" i="50"/>
  <c r="AI46" i="50"/>
  <c r="BD46" i="50"/>
  <c r="BM46" i="50"/>
  <c r="AT46" i="50"/>
  <c r="Z46" i="50"/>
  <c r="BL46" i="50"/>
  <c r="AS46" i="50"/>
  <c r="Q46" i="50"/>
  <c r="AJ46" i="50"/>
  <c r="R51" i="50"/>
  <c r="X51" i="50" s="1"/>
  <c r="BQ51" i="50"/>
  <c r="BM51" i="50"/>
  <c r="BH51" i="50"/>
  <c r="BD51" i="50"/>
  <c r="AY51" i="50"/>
  <c r="AP51" i="50"/>
  <c r="AJ51" i="50"/>
  <c r="AE51" i="50"/>
  <c r="Z51" i="50"/>
  <c r="BP51" i="50"/>
  <c r="BL51" i="50"/>
  <c r="BG51" i="50"/>
  <c r="AX51" i="50"/>
  <c r="AS51" i="50"/>
  <c r="AO51" i="50"/>
  <c r="AI51" i="50"/>
  <c r="AC51" i="50"/>
  <c r="BJ51" i="50"/>
  <c r="BA51" i="50"/>
  <c r="AR51" i="50"/>
  <c r="AH51" i="50"/>
  <c r="BR51" i="50"/>
  <c r="BI51" i="50"/>
  <c r="AZ51" i="50"/>
  <c r="AQ51" i="50"/>
  <c r="AG51" i="50"/>
  <c r="BE51" i="50"/>
  <c r="AL51" i="50"/>
  <c r="BF51" i="50"/>
  <c r="BO51" i="50"/>
  <c r="AW51" i="50"/>
  <c r="AB51" i="50"/>
  <c r="Q51" i="50"/>
  <c r="BN51" i="50"/>
  <c r="AV51" i="50"/>
  <c r="AA51" i="50"/>
  <c r="AN51" i="50"/>
  <c r="R55" i="50"/>
  <c r="T55" i="50" s="1"/>
  <c r="AK55" i="50"/>
  <c r="AD55" i="50"/>
  <c r="BQ55" i="50"/>
  <c r="BM55" i="50"/>
  <c r="BH55" i="50"/>
  <c r="BD55" i="50"/>
  <c r="AY55" i="50"/>
  <c r="AT55" i="50"/>
  <c r="AP55" i="50"/>
  <c r="AJ55" i="50"/>
  <c r="AE55" i="50"/>
  <c r="Z55" i="50"/>
  <c r="BP55" i="50"/>
  <c r="BL55" i="50"/>
  <c r="BG55" i="50"/>
  <c r="BB55" i="50"/>
  <c r="AX55" i="50"/>
  <c r="AS55" i="50"/>
  <c r="AO55" i="50"/>
  <c r="AI55" i="50"/>
  <c r="AC55" i="50"/>
  <c r="BJ55" i="50"/>
  <c r="BA55" i="50"/>
  <c r="AR55" i="50"/>
  <c r="AH55" i="50"/>
  <c r="BR55" i="50"/>
  <c r="BI55" i="50"/>
  <c r="AZ55" i="50"/>
  <c r="AQ55" i="50"/>
  <c r="AG55" i="50"/>
  <c r="BN55" i="50"/>
  <c r="AV55" i="50"/>
  <c r="AA55" i="50"/>
  <c r="BO55" i="50"/>
  <c r="AB55" i="50"/>
  <c r="BF55" i="50"/>
  <c r="AN55" i="50"/>
  <c r="Q55" i="50"/>
  <c r="BE55" i="50"/>
  <c r="AL55" i="50"/>
  <c r="AW55" i="50"/>
  <c r="R56" i="50"/>
  <c r="U56" i="50" s="1"/>
  <c r="AD56" i="50"/>
  <c r="AK56" i="50"/>
  <c r="BO56" i="50"/>
  <c r="BJ56" i="50"/>
  <c r="BF56" i="50"/>
  <c r="BA56" i="50"/>
  <c r="AW56" i="50"/>
  <c r="AR56" i="50"/>
  <c r="AN56" i="50"/>
  <c r="AH56" i="50"/>
  <c r="AB56" i="50"/>
  <c r="BR56" i="50"/>
  <c r="BN56" i="50"/>
  <c r="BI56" i="50"/>
  <c r="BE56" i="50"/>
  <c r="AZ56" i="50"/>
  <c r="AV56" i="50"/>
  <c r="AQ56" i="50"/>
  <c r="AL56" i="50"/>
  <c r="AG56" i="50"/>
  <c r="AA56" i="50"/>
  <c r="BM56" i="50"/>
  <c r="BD56" i="50"/>
  <c r="AT56" i="50"/>
  <c r="AJ56" i="50"/>
  <c r="Z56" i="50"/>
  <c r="BL56" i="50"/>
  <c r="BB56" i="50"/>
  <c r="AS56" i="50"/>
  <c r="AI56" i="50"/>
  <c r="BG56" i="50"/>
  <c r="AO56" i="50"/>
  <c r="Q56" i="50"/>
  <c r="BH56" i="50"/>
  <c r="BQ56" i="50"/>
  <c r="AY56" i="50"/>
  <c r="AE56" i="50"/>
  <c r="BP56" i="50"/>
  <c r="AX56" i="50"/>
  <c r="AC56" i="50"/>
  <c r="AP56" i="50"/>
  <c r="R64" i="50"/>
  <c r="AD64" i="50"/>
  <c r="AK64" i="50"/>
  <c r="BP64" i="50"/>
  <c r="BL64" i="50"/>
  <c r="BG64" i="50"/>
  <c r="BB64" i="50"/>
  <c r="AX64" i="50"/>
  <c r="AS64" i="50"/>
  <c r="AO64" i="50"/>
  <c r="AI64" i="50"/>
  <c r="AC64" i="50"/>
  <c r="BO64" i="50"/>
  <c r="BI64" i="50"/>
  <c r="BD64" i="50"/>
  <c r="AW64" i="50"/>
  <c r="AQ64" i="50"/>
  <c r="AJ64" i="50"/>
  <c r="AB64" i="50"/>
  <c r="BN64" i="50"/>
  <c r="BH64" i="50"/>
  <c r="BA64" i="50"/>
  <c r="AV64" i="50"/>
  <c r="AP64" i="50"/>
  <c r="AH64" i="50"/>
  <c r="AA64" i="50"/>
  <c r="BR64" i="50"/>
  <c r="BF64" i="50"/>
  <c r="AT64" i="50"/>
  <c r="AG64" i="50"/>
  <c r="BQ64" i="50"/>
  <c r="BE64" i="50"/>
  <c r="AR64" i="50"/>
  <c r="AE64" i="50"/>
  <c r="AY64" i="50"/>
  <c r="Q64" i="50"/>
  <c r="Z64" i="50"/>
  <c r="BM64" i="50"/>
  <c r="AN64" i="50"/>
  <c r="BJ64" i="50"/>
  <c r="AL64" i="50"/>
  <c r="AZ64" i="50"/>
  <c r="AD74" i="50"/>
  <c r="AK74" i="50"/>
  <c r="BQ74" i="50"/>
  <c r="BM74" i="50"/>
  <c r="BH74" i="50"/>
  <c r="BD74" i="50"/>
  <c r="AY74" i="50"/>
  <c r="AT74" i="50"/>
  <c r="AP74" i="50"/>
  <c r="AJ74" i="50"/>
  <c r="AE74" i="50"/>
  <c r="Z74" i="50"/>
  <c r="BR74" i="50"/>
  <c r="BL74" i="50"/>
  <c r="BF74" i="50"/>
  <c r="AZ74" i="50"/>
  <c r="AS74" i="50"/>
  <c r="AN74" i="50"/>
  <c r="AG74" i="50"/>
  <c r="BO74" i="50"/>
  <c r="BG74" i="50"/>
  <c r="AX74" i="50"/>
  <c r="AQ74" i="50"/>
  <c r="AH74" i="50"/>
  <c r="BN74" i="50"/>
  <c r="BE74" i="50"/>
  <c r="AW74" i="50"/>
  <c r="AO74" i="50"/>
  <c r="AC74" i="50"/>
  <c r="BB74" i="50"/>
  <c r="AL74" i="50"/>
  <c r="BP74" i="50"/>
  <c r="BA74" i="50"/>
  <c r="AI74" i="50"/>
  <c r="BI74" i="50"/>
  <c r="AA74" i="50"/>
  <c r="BJ74" i="50"/>
  <c r="Q74" i="50"/>
  <c r="AV74" i="50"/>
  <c r="AR74" i="50"/>
  <c r="AB74" i="50"/>
  <c r="R85" i="50"/>
  <c r="AD85" i="50"/>
  <c r="BO85" i="50"/>
  <c r="BJ85" i="50"/>
  <c r="BF85" i="50"/>
  <c r="BA85" i="50"/>
  <c r="AW85" i="50"/>
  <c r="AR85" i="50"/>
  <c r="AN85" i="50"/>
  <c r="AH85" i="50"/>
  <c r="AB85" i="50"/>
  <c r="BN85" i="50"/>
  <c r="BH85" i="50"/>
  <c r="BB85" i="50"/>
  <c r="AV85" i="50"/>
  <c r="AP85" i="50"/>
  <c r="AI85" i="50"/>
  <c r="AA85" i="50"/>
  <c r="AK85" i="50"/>
  <c r="BM85" i="50"/>
  <c r="BE85" i="50"/>
  <c r="AX85" i="50"/>
  <c r="AO85" i="50"/>
  <c r="AE85" i="50"/>
  <c r="BR85" i="50"/>
  <c r="BI85" i="50"/>
  <c r="AY85" i="50"/>
  <c r="AL85" i="50"/>
  <c r="Z85" i="50"/>
  <c r="BQ85" i="50"/>
  <c r="BG85" i="50"/>
  <c r="AT85" i="50"/>
  <c r="AJ85" i="50"/>
  <c r="BP85" i="50"/>
  <c r="AS85" i="50"/>
  <c r="BL85" i="50"/>
  <c r="AQ85" i="50"/>
  <c r="AZ85" i="50"/>
  <c r="Q85" i="50"/>
  <c r="AG85" i="50"/>
  <c r="AC85" i="50"/>
  <c r="BD85" i="50"/>
  <c r="AK20" i="50"/>
  <c r="AD20" i="50"/>
  <c r="BP20" i="50"/>
  <c r="BL20" i="50"/>
  <c r="BG20" i="50"/>
  <c r="BB20" i="50"/>
  <c r="AX20" i="50"/>
  <c r="AS20" i="50"/>
  <c r="AO20" i="50"/>
  <c r="AI20" i="50"/>
  <c r="AC20" i="50"/>
  <c r="BO20" i="50"/>
  <c r="BJ20" i="50"/>
  <c r="BF20" i="50"/>
  <c r="BA20" i="50"/>
  <c r="AW20" i="50"/>
  <c r="AR20" i="50"/>
  <c r="AN20" i="50"/>
  <c r="AH20" i="50"/>
  <c r="AB20" i="50"/>
  <c r="BQ20" i="50"/>
  <c r="BH20" i="50"/>
  <c r="AY20" i="50"/>
  <c r="AP20" i="50"/>
  <c r="AE20" i="50"/>
  <c r="BM20" i="50"/>
  <c r="AT20" i="50"/>
  <c r="Z20" i="50"/>
  <c r="BI20" i="50"/>
  <c r="AQ20" i="50"/>
  <c r="BN20" i="50"/>
  <c r="BE20" i="50"/>
  <c r="AV20" i="50"/>
  <c r="AL20" i="50"/>
  <c r="AA20" i="50"/>
  <c r="Q20" i="50"/>
  <c r="BD20" i="50"/>
  <c r="AJ20" i="50"/>
  <c r="BR20" i="50"/>
  <c r="AZ20" i="50"/>
  <c r="AG20" i="50"/>
  <c r="AK34" i="50"/>
  <c r="AD34" i="50"/>
  <c r="BR34" i="50"/>
  <c r="BN34" i="50"/>
  <c r="BI34" i="50"/>
  <c r="BE34" i="50"/>
  <c r="AZ34" i="50"/>
  <c r="AV34" i="50"/>
  <c r="AQ34" i="50"/>
  <c r="AL34" i="50"/>
  <c r="AG34" i="50"/>
  <c r="AA34" i="50"/>
  <c r="BQ34" i="50"/>
  <c r="BM34" i="50"/>
  <c r="BH34" i="50"/>
  <c r="BD34" i="50"/>
  <c r="AY34" i="50"/>
  <c r="AT34" i="50"/>
  <c r="AP34" i="50"/>
  <c r="AJ34" i="50"/>
  <c r="AE34" i="50"/>
  <c r="Z34" i="50"/>
  <c r="BO34" i="50"/>
  <c r="BF34" i="50"/>
  <c r="AW34" i="50"/>
  <c r="AN34" i="50"/>
  <c r="AB34" i="50"/>
  <c r="BG34" i="50"/>
  <c r="AO34" i="50"/>
  <c r="AC34" i="50"/>
  <c r="BL34" i="50"/>
  <c r="BB34" i="50"/>
  <c r="AS34" i="50"/>
  <c r="AI34" i="50"/>
  <c r="BJ34" i="50"/>
  <c r="BA34" i="50"/>
  <c r="AR34" i="50"/>
  <c r="AH34" i="50"/>
  <c r="BP34" i="50"/>
  <c r="AX34" i="50"/>
  <c r="R78" i="50"/>
  <c r="U78" i="50" s="1"/>
  <c r="AD78" i="50"/>
  <c r="BQ78" i="50"/>
  <c r="BM78" i="50"/>
  <c r="BH78" i="50"/>
  <c r="BD78" i="50"/>
  <c r="AY78" i="50"/>
  <c r="AT78" i="50"/>
  <c r="AP78" i="50"/>
  <c r="AJ78" i="50"/>
  <c r="AE78" i="50"/>
  <c r="Z78" i="50"/>
  <c r="AK78" i="50"/>
  <c r="BR78" i="50"/>
  <c r="BL78" i="50"/>
  <c r="BF78" i="50"/>
  <c r="AZ78" i="50"/>
  <c r="AS78" i="50"/>
  <c r="AN78" i="50"/>
  <c r="AG78" i="50"/>
  <c r="BJ78" i="50"/>
  <c r="BB78" i="50"/>
  <c r="AV78" i="50"/>
  <c r="AL78" i="50"/>
  <c r="AB78" i="50"/>
  <c r="BP78" i="50"/>
  <c r="BI78" i="50"/>
  <c r="BA78" i="50"/>
  <c r="AR78" i="50"/>
  <c r="AI78" i="50"/>
  <c r="AA78" i="50"/>
  <c r="BN78" i="50"/>
  <c r="AW78" i="50"/>
  <c r="AC78" i="50"/>
  <c r="BG78" i="50"/>
  <c r="AQ78" i="50"/>
  <c r="BO78" i="50"/>
  <c r="AH78" i="50"/>
  <c r="AO78" i="50"/>
  <c r="BE78" i="50"/>
  <c r="AX78" i="50"/>
  <c r="Q78" i="50"/>
  <c r="AK19" i="50"/>
  <c r="AD19" i="50"/>
  <c r="BR19" i="50"/>
  <c r="BN19" i="50"/>
  <c r="BI19" i="50"/>
  <c r="BE19" i="50"/>
  <c r="AZ19" i="50"/>
  <c r="AV19" i="50"/>
  <c r="AQ19" i="50"/>
  <c r="AL19" i="50"/>
  <c r="AG19" i="50"/>
  <c r="AA19" i="50"/>
  <c r="BQ19" i="50"/>
  <c r="BM19" i="50"/>
  <c r="BH19" i="50"/>
  <c r="BD19" i="50"/>
  <c r="AY19" i="50"/>
  <c r="AT19" i="50"/>
  <c r="AP19" i="50"/>
  <c r="AJ19" i="50"/>
  <c r="AE19" i="50"/>
  <c r="Z19" i="50"/>
  <c r="BO19" i="50"/>
  <c r="BF19" i="50"/>
  <c r="AW19" i="50"/>
  <c r="AN19" i="50"/>
  <c r="AB19" i="50"/>
  <c r="BA19" i="50"/>
  <c r="AH19" i="50"/>
  <c r="Q19" i="50"/>
  <c r="BP19" i="50"/>
  <c r="AX19" i="50"/>
  <c r="AC19" i="50"/>
  <c r="BL19" i="50"/>
  <c r="BB19" i="50"/>
  <c r="AS19" i="50"/>
  <c r="AI19" i="50"/>
  <c r="BJ19" i="50"/>
  <c r="AR19" i="50"/>
  <c r="BG19" i="50"/>
  <c r="AO19" i="50"/>
  <c r="AD25" i="50"/>
  <c r="AK25" i="50"/>
  <c r="BR25" i="50"/>
  <c r="BN25" i="50"/>
  <c r="BI25" i="50"/>
  <c r="BE25" i="50"/>
  <c r="AZ25" i="50"/>
  <c r="AV25" i="50"/>
  <c r="AQ25" i="50"/>
  <c r="AL25" i="50"/>
  <c r="AG25" i="50"/>
  <c r="AA25" i="50"/>
  <c r="BQ25" i="50"/>
  <c r="BM25" i="50"/>
  <c r="BH25" i="50"/>
  <c r="BD25" i="50"/>
  <c r="AY25" i="50"/>
  <c r="AT25" i="50"/>
  <c r="AP25" i="50"/>
  <c r="AJ25" i="50"/>
  <c r="AE25" i="50"/>
  <c r="Z25" i="50"/>
  <c r="BJ25" i="50"/>
  <c r="BA25" i="50"/>
  <c r="AR25" i="50"/>
  <c r="AH25" i="50"/>
  <c r="Q25" i="50"/>
  <c r="BF25" i="50"/>
  <c r="AN25" i="50"/>
  <c r="BL25" i="50"/>
  <c r="AS25" i="50"/>
  <c r="BP25" i="50"/>
  <c r="BG25" i="50"/>
  <c r="AX25" i="50"/>
  <c r="AO25" i="50"/>
  <c r="AC25" i="50"/>
  <c r="BO25" i="50"/>
  <c r="AW25" i="50"/>
  <c r="AB25" i="50"/>
  <c r="BB25" i="50"/>
  <c r="AI25" i="50"/>
  <c r="AD26" i="50"/>
  <c r="AK26" i="50"/>
  <c r="BP26" i="50"/>
  <c r="BL26" i="50"/>
  <c r="BG26" i="50"/>
  <c r="BB26" i="50"/>
  <c r="AX26" i="50"/>
  <c r="AS26" i="50"/>
  <c r="AO26" i="50"/>
  <c r="AI26" i="50"/>
  <c r="AC26" i="50"/>
  <c r="BO26" i="50"/>
  <c r="BJ26" i="50"/>
  <c r="BF26" i="50"/>
  <c r="BA26" i="50"/>
  <c r="AW26" i="50"/>
  <c r="AR26" i="50"/>
  <c r="AN26" i="50"/>
  <c r="AH26" i="50"/>
  <c r="AB26" i="50"/>
  <c r="BM26" i="50"/>
  <c r="BD26" i="50"/>
  <c r="AT26" i="50"/>
  <c r="AJ26" i="50"/>
  <c r="Z26" i="50"/>
  <c r="BQ26" i="50"/>
  <c r="AY26" i="50"/>
  <c r="AE26" i="50"/>
  <c r="BE26" i="50"/>
  <c r="AL26" i="50"/>
  <c r="BR26" i="50"/>
  <c r="BI26" i="50"/>
  <c r="AZ26" i="50"/>
  <c r="AQ26" i="50"/>
  <c r="AG26" i="50"/>
  <c r="BH26" i="50"/>
  <c r="AP26" i="50"/>
  <c r="BN26" i="50"/>
  <c r="AV26" i="50"/>
  <c r="AA26" i="50"/>
  <c r="Q26" i="50"/>
  <c r="R39" i="50"/>
  <c r="X39" i="50" s="1"/>
  <c r="AK39" i="50"/>
  <c r="AD39" i="50"/>
  <c r="BQ39" i="50"/>
  <c r="BM39" i="50"/>
  <c r="BH39" i="50"/>
  <c r="BD39" i="50"/>
  <c r="AY39" i="50"/>
  <c r="AT39" i="50"/>
  <c r="AP39" i="50"/>
  <c r="AJ39" i="50"/>
  <c r="AE39" i="50"/>
  <c r="Z39" i="50"/>
  <c r="BP39" i="50"/>
  <c r="BL39" i="50"/>
  <c r="BG39" i="50"/>
  <c r="BB39" i="50"/>
  <c r="AX39" i="50"/>
  <c r="AS39" i="50"/>
  <c r="AO39" i="50"/>
  <c r="AI39" i="50"/>
  <c r="AC39" i="50"/>
  <c r="BJ39" i="50"/>
  <c r="BA39" i="50"/>
  <c r="AR39" i="50"/>
  <c r="AH39" i="50"/>
  <c r="BR39" i="50"/>
  <c r="BI39" i="50"/>
  <c r="AZ39" i="50"/>
  <c r="AQ39" i="50"/>
  <c r="AG39" i="50"/>
  <c r="BN39" i="50"/>
  <c r="AV39" i="50"/>
  <c r="AA39" i="50"/>
  <c r="BO39" i="50"/>
  <c r="AB39" i="50"/>
  <c r="BF39" i="50"/>
  <c r="AN39" i="50"/>
  <c r="Q39" i="50"/>
  <c r="BE39" i="50"/>
  <c r="AL39" i="50"/>
  <c r="AW39" i="50"/>
  <c r="R42" i="50"/>
  <c r="U42" i="50" s="1"/>
  <c r="AK42" i="50"/>
  <c r="AD42" i="50"/>
  <c r="BO42" i="50"/>
  <c r="BJ42" i="50"/>
  <c r="BF42" i="50"/>
  <c r="BA42" i="50"/>
  <c r="AW42" i="50"/>
  <c r="AR42" i="50"/>
  <c r="AN42" i="50"/>
  <c r="AH42" i="50"/>
  <c r="AB42" i="50"/>
  <c r="BR42" i="50"/>
  <c r="BN42" i="50"/>
  <c r="BI42" i="50"/>
  <c r="BE42" i="50"/>
  <c r="AZ42" i="50"/>
  <c r="AV42" i="50"/>
  <c r="AQ42" i="50"/>
  <c r="AL42" i="50"/>
  <c r="AG42" i="50"/>
  <c r="AA42" i="50"/>
  <c r="BQ42" i="50"/>
  <c r="BH42" i="50"/>
  <c r="AY42" i="50"/>
  <c r="AP42" i="50"/>
  <c r="AE42" i="50"/>
  <c r="BP42" i="50"/>
  <c r="BG42" i="50"/>
  <c r="AX42" i="50"/>
  <c r="AO42" i="50"/>
  <c r="AC42" i="50"/>
  <c r="BL42" i="50"/>
  <c r="AS42" i="50"/>
  <c r="Q42" i="50"/>
  <c r="AT42" i="50"/>
  <c r="BD42" i="50"/>
  <c r="AJ42" i="50"/>
  <c r="BB42" i="50"/>
  <c r="AI42" i="50"/>
  <c r="BM42" i="50"/>
  <c r="Z42" i="50"/>
  <c r="R43" i="50"/>
  <c r="U43" i="50" s="1"/>
  <c r="AK43" i="50"/>
  <c r="AD43" i="50"/>
  <c r="BQ43" i="50"/>
  <c r="BM43" i="50"/>
  <c r="BH43" i="50"/>
  <c r="BD43" i="50"/>
  <c r="AY43" i="50"/>
  <c r="AT43" i="50"/>
  <c r="AP43" i="50"/>
  <c r="AJ43" i="50"/>
  <c r="AE43" i="50"/>
  <c r="Z43" i="50"/>
  <c r="BP43" i="50"/>
  <c r="BL43" i="50"/>
  <c r="BG43" i="50"/>
  <c r="BB43" i="50"/>
  <c r="AX43" i="50"/>
  <c r="AS43" i="50"/>
  <c r="AO43" i="50"/>
  <c r="AI43" i="50"/>
  <c r="AC43" i="50"/>
  <c r="BJ43" i="50"/>
  <c r="BA43" i="50"/>
  <c r="AR43" i="50"/>
  <c r="AH43" i="50"/>
  <c r="BR43" i="50"/>
  <c r="BI43" i="50"/>
  <c r="AZ43" i="50"/>
  <c r="AQ43" i="50"/>
  <c r="AG43" i="50"/>
  <c r="BE43" i="50"/>
  <c r="AL43" i="50"/>
  <c r="AN43" i="50"/>
  <c r="BO43" i="50"/>
  <c r="AW43" i="50"/>
  <c r="AB43" i="50"/>
  <c r="Q43" i="50"/>
  <c r="BN43" i="50"/>
  <c r="AV43" i="50"/>
  <c r="AA43" i="50"/>
  <c r="BF43" i="50"/>
  <c r="R44" i="50"/>
  <c r="U44" i="50" s="1"/>
  <c r="AD44" i="50"/>
  <c r="AK44" i="50"/>
  <c r="BO44" i="50"/>
  <c r="BJ44" i="50"/>
  <c r="BF44" i="50"/>
  <c r="BA44" i="50"/>
  <c r="AW44" i="50"/>
  <c r="AR44" i="50"/>
  <c r="AN44" i="50"/>
  <c r="AH44" i="50"/>
  <c r="AB44" i="50"/>
  <c r="BR44" i="50"/>
  <c r="BN44" i="50"/>
  <c r="BI44" i="50"/>
  <c r="BE44" i="50"/>
  <c r="AZ44" i="50"/>
  <c r="AV44" i="50"/>
  <c r="AQ44" i="50"/>
  <c r="AL44" i="50"/>
  <c r="AG44" i="50"/>
  <c r="AA44" i="50"/>
  <c r="BM44" i="50"/>
  <c r="BD44" i="50"/>
  <c r="AT44" i="50"/>
  <c r="AJ44" i="50"/>
  <c r="Z44" i="50"/>
  <c r="BL44" i="50"/>
  <c r="BB44" i="50"/>
  <c r="AS44" i="50"/>
  <c r="AI44" i="50"/>
  <c r="BP44" i="50"/>
  <c r="AX44" i="50"/>
  <c r="AC44" i="50"/>
  <c r="Q44" i="50"/>
  <c r="BQ44" i="50"/>
  <c r="AE44" i="50"/>
  <c r="BH44" i="50"/>
  <c r="AP44" i="50"/>
  <c r="BG44" i="50"/>
  <c r="AO44" i="50"/>
  <c r="AY44" i="50"/>
  <c r="R49" i="50"/>
  <c r="U49" i="50" s="1"/>
  <c r="AD49" i="50"/>
  <c r="AK49" i="50"/>
  <c r="BQ49" i="50"/>
  <c r="BM49" i="50"/>
  <c r="BH49" i="50"/>
  <c r="BD49" i="50"/>
  <c r="AY49" i="50"/>
  <c r="AT49" i="50"/>
  <c r="AP49" i="50"/>
  <c r="AJ49" i="50"/>
  <c r="AE49" i="50"/>
  <c r="Z49" i="50"/>
  <c r="BP49" i="50"/>
  <c r="BL49" i="50"/>
  <c r="BG49" i="50"/>
  <c r="BB49" i="50"/>
  <c r="AX49" i="50"/>
  <c r="AS49" i="50"/>
  <c r="AO49" i="50"/>
  <c r="AI49" i="50"/>
  <c r="AC49" i="50"/>
  <c r="BO49" i="50"/>
  <c r="BF49" i="50"/>
  <c r="AW49" i="50"/>
  <c r="AN49" i="50"/>
  <c r="AB49" i="50"/>
  <c r="BN49" i="50"/>
  <c r="BE49" i="50"/>
  <c r="AV49" i="50"/>
  <c r="AL49" i="50"/>
  <c r="AA49" i="50"/>
  <c r="BR49" i="50"/>
  <c r="AZ49" i="50"/>
  <c r="AG49" i="50"/>
  <c r="AH49" i="50"/>
  <c r="Q49" i="50"/>
  <c r="BJ49" i="50"/>
  <c r="AR49" i="50"/>
  <c r="BI49" i="50"/>
  <c r="AQ49" i="50"/>
  <c r="BA49" i="50"/>
  <c r="R57" i="50"/>
  <c r="S57" i="50" s="1"/>
  <c r="AD57" i="50"/>
  <c r="AK57" i="50"/>
  <c r="BQ57" i="50"/>
  <c r="BM57" i="50"/>
  <c r="BH57" i="50"/>
  <c r="BD57" i="50"/>
  <c r="AY57" i="50"/>
  <c r="AT57" i="50"/>
  <c r="AP57" i="50"/>
  <c r="AJ57" i="50"/>
  <c r="AE57" i="50"/>
  <c r="Z57" i="50"/>
  <c r="BP57" i="50"/>
  <c r="BL57" i="50"/>
  <c r="BG57" i="50"/>
  <c r="BB57" i="50"/>
  <c r="AX57" i="50"/>
  <c r="AS57" i="50"/>
  <c r="AO57" i="50"/>
  <c r="AI57" i="50"/>
  <c r="AC57" i="50"/>
  <c r="BO57" i="50"/>
  <c r="BF57" i="50"/>
  <c r="AW57" i="50"/>
  <c r="AN57" i="50"/>
  <c r="AB57" i="50"/>
  <c r="BN57" i="50"/>
  <c r="BE57" i="50"/>
  <c r="AV57" i="50"/>
  <c r="AL57" i="50"/>
  <c r="AA57" i="50"/>
  <c r="BR57" i="50"/>
  <c r="AZ57" i="50"/>
  <c r="AG57" i="50"/>
  <c r="BA57" i="50"/>
  <c r="Q57" i="50"/>
  <c r="BJ57" i="50"/>
  <c r="AR57" i="50"/>
  <c r="BI57" i="50"/>
  <c r="AQ57" i="50"/>
  <c r="AH57" i="50"/>
  <c r="R58" i="50"/>
  <c r="S58" i="50" s="1"/>
  <c r="AK58" i="50"/>
  <c r="AD58" i="50"/>
  <c r="BO58" i="50"/>
  <c r="BJ58" i="50"/>
  <c r="BF58" i="50"/>
  <c r="BA58" i="50"/>
  <c r="AW58" i="50"/>
  <c r="AR58" i="50"/>
  <c r="AN58" i="50"/>
  <c r="AH58" i="50"/>
  <c r="AB58" i="50"/>
  <c r="BR58" i="50"/>
  <c r="BN58" i="50"/>
  <c r="BI58" i="50"/>
  <c r="BE58" i="50"/>
  <c r="AZ58" i="50"/>
  <c r="AV58" i="50"/>
  <c r="AQ58" i="50"/>
  <c r="AL58" i="50"/>
  <c r="AG58" i="50"/>
  <c r="AA58" i="50"/>
  <c r="BQ58" i="50"/>
  <c r="BH58" i="50"/>
  <c r="AY58" i="50"/>
  <c r="AP58" i="50"/>
  <c r="AE58" i="50"/>
  <c r="BP58" i="50"/>
  <c r="BG58" i="50"/>
  <c r="AX58" i="50"/>
  <c r="AO58" i="50"/>
  <c r="AC58" i="50"/>
  <c r="BL58" i="50"/>
  <c r="AS58" i="50"/>
  <c r="Q58" i="50"/>
  <c r="BM58" i="50"/>
  <c r="BD58" i="50"/>
  <c r="AJ58" i="50"/>
  <c r="BB58" i="50"/>
  <c r="AI58" i="50"/>
  <c r="AT58" i="50"/>
  <c r="Z58" i="50"/>
  <c r="R60" i="50"/>
  <c r="T60" i="50" s="1"/>
  <c r="AD60" i="50"/>
  <c r="AK60" i="50"/>
  <c r="BP60" i="50"/>
  <c r="BL60" i="50"/>
  <c r="BG60" i="50"/>
  <c r="BB60" i="50"/>
  <c r="AX60" i="50"/>
  <c r="AS60" i="50"/>
  <c r="AO60" i="50"/>
  <c r="BR60" i="50"/>
  <c r="BM60" i="50"/>
  <c r="BF60" i="50"/>
  <c r="AZ60" i="50"/>
  <c r="AT60" i="50"/>
  <c r="AN60" i="50"/>
  <c r="AH60" i="50"/>
  <c r="AB60" i="50"/>
  <c r="BQ60" i="50"/>
  <c r="BJ60" i="50"/>
  <c r="BE60" i="50"/>
  <c r="AY60" i="50"/>
  <c r="AR60" i="50"/>
  <c r="AL60" i="50"/>
  <c r="AG60" i="50"/>
  <c r="AA60" i="50"/>
  <c r="BI60" i="50"/>
  <c r="AW60" i="50"/>
  <c r="AJ60" i="50"/>
  <c r="Z60" i="50"/>
  <c r="BH60" i="50"/>
  <c r="AV60" i="50"/>
  <c r="AI60" i="50"/>
  <c r="BA60" i="50"/>
  <c r="AC60" i="50"/>
  <c r="Q60" i="50"/>
  <c r="BD60" i="50"/>
  <c r="BO60" i="50"/>
  <c r="AQ60" i="50"/>
  <c r="BN60" i="50"/>
  <c r="AP60" i="50"/>
  <c r="AE60" i="50"/>
  <c r="AK62" i="50"/>
  <c r="BP62" i="50"/>
  <c r="BL62" i="50"/>
  <c r="BG62" i="50"/>
  <c r="BB62" i="50"/>
  <c r="AX62" i="50"/>
  <c r="AS62" i="50"/>
  <c r="AO62" i="50"/>
  <c r="AI62" i="50"/>
  <c r="AC62" i="50"/>
  <c r="BQ62" i="50"/>
  <c r="BJ62" i="50"/>
  <c r="BE62" i="50"/>
  <c r="AY62" i="50"/>
  <c r="AR62" i="50"/>
  <c r="AL62" i="50"/>
  <c r="AE62" i="50"/>
  <c r="AD62" i="50"/>
  <c r="BO62" i="50"/>
  <c r="BI62" i="50"/>
  <c r="BD62" i="50"/>
  <c r="AW62" i="50"/>
  <c r="AQ62" i="50"/>
  <c r="AJ62" i="50"/>
  <c r="AB62" i="50"/>
  <c r="BH62" i="50"/>
  <c r="AV62" i="50"/>
  <c r="AH62" i="50"/>
  <c r="BR62" i="50"/>
  <c r="BF62" i="50"/>
  <c r="AT62" i="50"/>
  <c r="AG62" i="50"/>
  <c r="BM62" i="50"/>
  <c r="AN62" i="50"/>
  <c r="BN62" i="50"/>
  <c r="BA62" i="50"/>
  <c r="AA62" i="50"/>
  <c r="AZ62" i="50"/>
  <c r="Z62" i="50"/>
  <c r="AP62" i="50"/>
  <c r="R66" i="50"/>
  <c r="W66" i="50" s="1"/>
  <c r="AK66" i="50"/>
  <c r="AD66" i="50"/>
  <c r="BO66" i="50"/>
  <c r="BJ66" i="50"/>
  <c r="BF66" i="50"/>
  <c r="BA66" i="50"/>
  <c r="AW66" i="50"/>
  <c r="AR66" i="50"/>
  <c r="AN66" i="50"/>
  <c r="AH66" i="50"/>
  <c r="AB66" i="50"/>
  <c r="BP66" i="50"/>
  <c r="BI66" i="50"/>
  <c r="BD66" i="50"/>
  <c r="AX66" i="50"/>
  <c r="AQ66" i="50"/>
  <c r="AJ66" i="50"/>
  <c r="AC66" i="50"/>
  <c r="BM66" i="50"/>
  <c r="BE66" i="50"/>
  <c r="AV66" i="50"/>
  <c r="AO66" i="50"/>
  <c r="AE66" i="50"/>
  <c r="BR66" i="50"/>
  <c r="BL66" i="50"/>
  <c r="BB66" i="50"/>
  <c r="AT66" i="50"/>
  <c r="AL66" i="50"/>
  <c r="AA66" i="50"/>
  <c r="BH66" i="50"/>
  <c r="AS66" i="50"/>
  <c r="Z66" i="50"/>
  <c r="BG66" i="50"/>
  <c r="AP66" i="50"/>
  <c r="AY66" i="50"/>
  <c r="Q66" i="50"/>
  <c r="AZ66" i="50"/>
  <c r="BQ66" i="50"/>
  <c r="AI66" i="50"/>
  <c r="BN66" i="50"/>
  <c r="AG66" i="50"/>
  <c r="R67" i="50"/>
  <c r="W67" i="50" s="1"/>
  <c r="AK67" i="50"/>
  <c r="AD67" i="50"/>
  <c r="BQ67" i="50"/>
  <c r="BM67" i="50"/>
  <c r="BH67" i="50"/>
  <c r="BD67" i="50"/>
  <c r="AY67" i="50"/>
  <c r="AT67" i="50"/>
  <c r="AP67" i="50"/>
  <c r="AJ67" i="50"/>
  <c r="AE67" i="50"/>
  <c r="Z67" i="50"/>
  <c r="BO67" i="50"/>
  <c r="BI67" i="50"/>
  <c r="BB67" i="50"/>
  <c r="AW67" i="50"/>
  <c r="AQ67" i="50"/>
  <c r="AI67" i="50"/>
  <c r="AB67" i="50"/>
  <c r="BR67" i="50"/>
  <c r="BJ67" i="50"/>
  <c r="BA67" i="50"/>
  <c r="AS67" i="50"/>
  <c r="AL67" i="50"/>
  <c r="AA67" i="50"/>
  <c r="BP67" i="50"/>
  <c r="BG67" i="50"/>
  <c r="AZ67" i="50"/>
  <c r="AR67" i="50"/>
  <c r="AH67" i="50"/>
  <c r="BN67" i="50"/>
  <c r="AX67" i="50"/>
  <c r="AG67" i="50"/>
  <c r="BL67" i="50"/>
  <c r="AV67" i="50"/>
  <c r="AC67" i="50"/>
  <c r="AN67" i="50"/>
  <c r="BF67" i="50"/>
  <c r="Q67" i="50"/>
  <c r="BE67" i="50"/>
  <c r="AO67" i="50"/>
  <c r="AD68" i="50"/>
  <c r="BO68" i="50"/>
  <c r="BJ68" i="50"/>
  <c r="BF68" i="50"/>
  <c r="BA68" i="50"/>
  <c r="AW68" i="50"/>
  <c r="AR68" i="50"/>
  <c r="AN68" i="50"/>
  <c r="AH68" i="50"/>
  <c r="AB68" i="50"/>
  <c r="BN68" i="50"/>
  <c r="BH68" i="50"/>
  <c r="BB68" i="50"/>
  <c r="AV68" i="50"/>
  <c r="AP68" i="50"/>
  <c r="AI68" i="50"/>
  <c r="AA68" i="50"/>
  <c r="BP68" i="50"/>
  <c r="BG68" i="50"/>
  <c r="AY68" i="50"/>
  <c r="AQ68" i="50"/>
  <c r="AG68" i="50"/>
  <c r="AK68" i="50"/>
  <c r="BM68" i="50"/>
  <c r="BE68" i="50"/>
  <c r="AX68" i="50"/>
  <c r="AO68" i="50"/>
  <c r="AE68" i="50"/>
  <c r="BR68" i="50"/>
  <c r="BD68" i="50"/>
  <c r="AL68" i="50"/>
  <c r="BQ68" i="50"/>
  <c r="AZ68" i="50"/>
  <c r="AJ68" i="50"/>
  <c r="BI68" i="50"/>
  <c r="Z68" i="50"/>
  <c r="Q68" i="50"/>
  <c r="AC68" i="50"/>
  <c r="AT68" i="50"/>
  <c r="AS68" i="50"/>
  <c r="BL68" i="50"/>
  <c r="AD69" i="50"/>
  <c r="AK69" i="50"/>
  <c r="BQ69" i="50"/>
  <c r="BM69" i="50"/>
  <c r="BH69" i="50"/>
  <c r="BD69" i="50"/>
  <c r="AY69" i="50"/>
  <c r="AT69" i="50"/>
  <c r="AP69" i="50"/>
  <c r="AJ69" i="50"/>
  <c r="AE69" i="50"/>
  <c r="Z69" i="50"/>
  <c r="BN69" i="50"/>
  <c r="BG69" i="50"/>
  <c r="BA69" i="50"/>
  <c r="AV69" i="50"/>
  <c r="AO69" i="50"/>
  <c r="AH69" i="50"/>
  <c r="AA69" i="50"/>
  <c r="BL69" i="50"/>
  <c r="BE69" i="50"/>
  <c r="AW69" i="50"/>
  <c r="AN69" i="50"/>
  <c r="AC69" i="50"/>
  <c r="BR69" i="50"/>
  <c r="BJ69" i="50"/>
  <c r="BB69" i="50"/>
  <c r="AS69" i="50"/>
  <c r="AL69" i="50"/>
  <c r="AB69" i="50"/>
  <c r="BI69" i="50"/>
  <c r="AR69" i="50"/>
  <c r="BF69" i="50"/>
  <c r="AQ69" i="50"/>
  <c r="AX69" i="50"/>
  <c r="AZ69" i="50"/>
  <c r="BP69" i="50"/>
  <c r="AI69" i="50"/>
  <c r="BO69" i="50"/>
  <c r="AG69" i="50"/>
  <c r="Q69" i="50"/>
  <c r="R80" i="50"/>
  <c r="U80" i="50" s="1"/>
  <c r="AK80" i="50"/>
  <c r="BQ80" i="50"/>
  <c r="BM80" i="50"/>
  <c r="BN80" i="50"/>
  <c r="BH80" i="50"/>
  <c r="BD80" i="50"/>
  <c r="AY80" i="50"/>
  <c r="AT80" i="50"/>
  <c r="AP80" i="50"/>
  <c r="AJ80" i="50"/>
  <c r="AE80" i="50"/>
  <c r="Z80" i="50"/>
  <c r="AD80" i="50"/>
  <c r="BR80" i="50"/>
  <c r="BJ80" i="50"/>
  <c r="BE80" i="50"/>
  <c r="AX80" i="50"/>
  <c r="AR80" i="50"/>
  <c r="AL80" i="50"/>
  <c r="AC80" i="50"/>
  <c r="BO80" i="50"/>
  <c r="BF80" i="50"/>
  <c r="AW80" i="50"/>
  <c r="AO80" i="50"/>
  <c r="AG80" i="50"/>
  <c r="BL80" i="50"/>
  <c r="BB80" i="50"/>
  <c r="AV80" i="50"/>
  <c r="AN80" i="50"/>
  <c r="AB80" i="50"/>
  <c r="BG80" i="50"/>
  <c r="AQ80" i="50"/>
  <c r="BA80" i="50"/>
  <c r="AI80" i="50"/>
  <c r="AS80" i="50"/>
  <c r="BP80" i="50"/>
  <c r="AH80" i="50"/>
  <c r="Q80" i="50"/>
  <c r="BI80" i="50"/>
  <c r="AA80" i="50"/>
  <c r="AZ80" i="50"/>
  <c r="R81" i="50"/>
  <c r="U81" i="50" s="1"/>
  <c r="AD81" i="50"/>
  <c r="AK81" i="50"/>
  <c r="BO81" i="50"/>
  <c r="BJ81" i="50"/>
  <c r="BF81" i="50"/>
  <c r="BA81" i="50"/>
  <c r="AW81" i="50"/>
  <c r="AR81" i="50"/>
  <c r="AN81" i="50"/>
  <c r="AH81" i="50"/>
  <c r="AB81" i="50"/>
  <c r="BR81" i="50"/>
  <c r="BM81" i="50"/>
  <c r="BG81" i="50"/>
  <c r="AZ81" i="50"/>
  <c r="AT81" i="50"/>
  <c r="AO81" i="50"/>
  <c r="AG81" i="50"/>
  <c r="Z81" i="50"/>
  <c r="BP81" i="50"/>
  <c r="BH81" i="50"/>
  <c r="AY81" i="50"/>
  <c r="AQ81" i="50"/>
  <c r="AI81" i="50"/>
  <c r="BN81" i="50"/>
  <c r="BD81" i="50"/>
  <c r="AS81" i="50"/>
  <c r="AE81" i="50"/>
  <c r="BL81" i="50"/>
  <c r="BB81" i="50"/>
  <c r="AP81" i="50"/>
  <c r="AC81" i="50"/>
  <c r="BE81" i="50"/>
  <c r="AJ81" i="50"/>
  <c r="AX81" i="50"/>
  <c r="AA81" i="50"/>
  <c r="AL81" i="50"/>
  <c r="Q81" i="50"/>
  <c r="AV81" i="50"/>
  <c r="BQ81" i="50"/>
  <c r="BI81" i="50"/>
  <c r="R88" i="50"/>
  <c r="T88" i="50" s="1"/>
  <c r="BP88" i="50"/>
  <c r="BL88" i="50"/>
  <c r="BG88" i="50"/>
  <c r="BB88" i="50"/>
  <c r="AX88" i="50"/>
  <c r="AS88" i="50"/>
  <c r="AO88" i="50"/>
  <c r="AI88" i="50"/>
  <c r="AC88" i="50"/>
  <c r="AK88" i="50"/>
  <c r="BO88" i="50"/>
  <c r="BJ88" i="50"/>
  <c r="BF88" i="50"/>
  <c r="BA88" i="50"/>
  <c r="AW88" i="50"/>
  <c r="AR88" i="50"/>
  <c r="AN88" i="50"/>
  <c r="AH88" i="50"/>
  <c r="AB88" i="50"/>
  <c r="BN88" i="50"/>
  <c r="BE88" i="50"/>
  <c r="AV88" i="50"/>
  <c r="AL88" i="50"/>
  <c r="AA88" i="50"/>
  <c r="AD88" i="50"/>
  <c r="BR88" i="50"/>
  <c r="BH88" i="50"/>
  <c r="AT88" i="50"/>
  <c r="AG88" i="50"/>
  <c r="BI88" i="50"/>
  <c r="AQ88" i="50"/>
  <c r="Z88" i="50"/>
  <c r="BM88" i="50"/>
  <c r="AP88" i="50"/>
  <c r="BD88" i="50"/>
  <c r="AJ88" i="50"/>
  <c r="AE88" i="50"/>
  <c r="BQ88" i="50"/>
  <c r="AY88" i="50"/>
  <c r="Q88" i="50"/>
  <c r="AZ88" i="50"/>
  <c r="R8" i="50"/>
  <c r="U8" i="50" s="1"/>
  <c r="AK8" i="50"/>
  <c r="AD8" i="50"/>
  <c r="BQ8" i="50"/>
  <c r="BM8" i="50"/>
  <c r="BH8" i="50"/>
  <c r="BD8" i="50"/>
  <c r="AY8" i="50"/>
  <c r="AT8" i="50"/>
  <c r="AP8" i="50"/>
  <c r="AJ8" i="50"/>
  <c r="AE8" i="50"/>
  <c r="Z8" i="50"/>
  <c r="BJ8" i="50"/>
  <c r="BA8" i="50"/>
  <c r="AR8" i="50"/>
  <c r="AH8" i="50"/>
  <c r="BR8" i="50"/>
  <c r="BI8" i="50"/>
  <c r="AZ8" i="50"/>
  <c r="AQ8" i="50"/>
  <c r="AG8" i="50"/>
  <c r="BP8" i="50"/>
  <c r="BL8" i="50"/>
  <c r="BG8" i="50"/>
  <c r="BB8" i="50"/>
  <c r="AX8" i="50"/>
  <c r="AS8" i="50"/>
  <c r="AO8" i="50"/>
  <c r="AI8" i="50"/>
  <c r="AC8" i="50"/>
  <c r="Q8" i="50"/>
  <c r="BO8" i="50"/>
  <c r="BF8" i="50"/>
  <c r="AW8" i="50"/>
  <c r="AN8" i="50"/>
  <c r="AB8" i="50"/>
  <c r="BN8" i="50"/>
  <c r="BE8" i="50"/>
  <c r="AV8" i="50"/>
  <c r="AL8" i="50"/>
  <c r="AA8" i="50"/>
  <c r="R9" i="50"/>
  <c r="S9" i="50" s="1"/>
  <c r="AD9" i="50"/>
  <c r="AK9" i="50"/>
  <c r="BO9" i="50"/>
  <c r="BJ9" i="50"/>
  <c r="BF9" i="50"/>
  <c r="BA9" i="50"/>
  <c r="AW9" i="50"/>
  <c r="AR9" i="50"/>
  <c r="AN9" i="50"/>
  <c r="AH9" i="50"/>
  <c r="AB9" i="50"/>
  <c r="Q9" i="50"/>
  <c r="BM9" i="50"/>
  <c r="BD9" i="50"/>
  <c r="AT9" i="50"/>
  <c r="AJ9" i="50"/>
  <c r="Z9" i="50"/>
  <c r="BL9" i="50"/>
  <c r="BB9" i="50"/>
  <c r="AS9" i="50"/>
  <c r="AI9" i="50"/>
  <c r="BR9" i="50"/>
  <c r="BN9" i="50"/>
  <c r="BI9" i="50"/>
  <c r="BE9" i="50"/>
  <c r="AZ9" i="50"/>
  <c r="AV9" i="50"/>
  <c r="AQ9" i="50"/>
  <c r="AL9" i="50"/>
  <c r="AG9" i="50"/>
  <c r="AA9" i="50"/>
  <c r="BQ9" i="50"/>
  <c r="BH9" i="50"/>
  <c r="AY9" i="50"/>
  <c r="AP9" i="50"/>
  <c r="AE9" i="50"/>
  <c r="BP9" i="50"/>
  <c r="BG9" i="50"/>
  <c r="AX9" i="50"/>
  <c r="AO9" i="50"/>
  <c r="AC9" i="50"/>
  <c r="R48" i="50"/>
  <c r="U48" i="50" s="1"/>
  <c r="AD48" i="50"/>
  <c r="AK48" i="50"/>
  <c r="BO48" i="50"/>
  <c r="BJ48" i="50"/>
  <c r="BF48" i="50"/>
  <c r="BA48" i="50"/>
  <c r="AW48" i="50"/>
  <c r="AR48" i="50"/>
  <c r="AN48" i="50"/>
  <c r="AH48" i="50"/>
  <c r="AB48" i="50"/>
  <c r="BR48" i="50"/>
  <c r="BN48" i="50"/>
  <c r="BI48" i="50"/>
  <c r="BE48" i="50"/>
  <c r="AZ48" i="50"/>
  <c r="AV48" i="50"/>
  <c r="AQ48" i="50"/>
  <c r="AL48" i="50"/>
  <c r="AG48" i="50"/>
  <c r="AA48" i="50"/>
  <c r="BM48" i="50"/>
  <c r="BD48" i="50"/>
  <c r="AT48" i="50"/>
  <c r="AJ48" i="50"/>
  <c r="Z48" i="50"/>
  <c r="BL48" i="50"/>
  <c r="BB48" i="50"/>
  <c r="AS48" i="50"/>
  <c r="AI48" i="50"/>
  <c r="BG48" i="50"/>
  <c r="AO48" i="50"/>
  <c r="Q48" i="50"/>
  <c r="AP48" i="50"/>
  <c r="BQ48" i="50"/>
  <c r="AY48" i="50"/>
  <c r="AE48" i="50"/>
  <c r="BP48" i="50"/>
  <c r="AX48" i="50"/>
  <c r="AC48" i="50"/>
  <c r="BH48" i="50"/>
  <c r="R52" i="50"/>
  <c r="T52" i="50" s="1"/>
  <c r="AD52" i="50"/>
  <c r="AK52" i="50"/>
  <c r="BO52" i="50"/>
  <c r="BJ52" i="50"/>
  <c r="BF52" i="50"/>
  <c r="BA52" i="50"/>
  <c r="AW52" i="50"/>
  <c r="AR52" i="50"/>
  <c r="AN52" i="50"/>
  <c r="AH52" i="50"/>
  <c r="AB52" i="50"/>
  <c r="BR52" i="50"/>
  <c r="BN52" i="50"/>
  <c r="BI52" i="50"/>
  <c r="BE52" i="50"/>
  <c r="AZ52" i="50"/>
  <c r="AV52" i="50"/>
  <c r="AQ52" i="50"/>
  <c r="AL52" i="50"/>
  <c r="AG52" i="50"/>
  <c r="AA52" i="50"/>
  <c r="BM52" i="50"/>
  <c r="BD52" i="50"/>
  <c r="AT52" i="50"/>
  <c r="AJ52" i="50"/>
  <c r="Z52" i="50"/>
  <c r="BL52" i="50"/>
  <c r="BB52" i="50"/>
  <c r="AS52" i="50"/>
  <c r="AI52" i="50"/>
  <c r="BP52" i="50"/>
  <c r="AX52" i="50"/>
  <c r="AC52" i="50"/>
  <c r="Q52" i="50"/>
  <c r="AY52" i="50"/>
  <c r="BH52" i="50"/>
  <c r="AP52" i="50"/>
  <c r="BG52" i="50"/>
  <c r="AO52" i="50"/>
  <c r="BQ52" i="50"/>
  <c r="AE52" i="50"/>
  <c r="R54" i="50"/>
  <c r="V54" i="50" s="1"/>
  <c r="AK54" i="50"/>
  <c r="AD54" i="50"/>
  <c r="BO54" i="50"/>
  <c r="BJ54" i="50"/>
  <c r="BF54" i="50"/>
  <c r="BA54" i="50"/>
  <c r="AW54" i="50"/>
  <c r="AR54" i="50"/>
  <c r="AN54" i="50"/>
  <c r="AH54" i="50"/>
  <c r="AB54" i="50"/>
  <c r="BR54" i="50"/>
  <c r="BN54" i="50"/>
  <c r="BI54" i="50"/>
  <c r="BE54" i="50"/>
  <c r="AV54" i="50"/>
  <c r="AQ54" i="50"/>
  <c r="AG54" i="50"/>
  <c r="AA54" i="50"/>
  <c r="BQ54" i="50"/>
  <c r="BH54" i="50"/>
  <c r="AY54" i="50"/>
  <c r="AP54" i="50"/>
  <c r="AE54" i="50"/>
  <c r="BP54" i="50"/>
  <c r="BG54" i="50"/>
  <c r="AX54" i="50"/>
  <c r="AO54" i="50"/>
  <c r="AC54" i="50"/>
  <c r="BB54" i="50"/>
  <c r="AI54" i="50"/>
  <c r="AJ54" i="50"/>
  <c r="BM54" i="50"/>
  <c r="AT54" i="50"/>
  <c r="Z54" i="50"/>
  <c r="BL54" i="50"/>
  <c r="AS54" i="50"/>
  <c r="Q54" i="50"/>
  <c r="BD54" i="50"/>
  <c r="R63" i="50"/>
  <c r="S63" i="50" s="1"/>
  <c r="AK63" i="50"/>
  <c r="AD63" i="50"/>
  <c r="BR63" i="50"/>
  <c r="BN63" i="50"/>
  <c r="BI63" i="50"/>
  <c r="BE63" i="50"/>
  <c r="AZ63" i="50"/>
  <c r="AV63" i="50"/>
  <c r="AQ63" i="50"/>
  <c r="AL63" i="50"/>
  <c r="AA63" i="50"/>
  <c r="BP63" i="50"/>
  <c r="BJ63" i="50"/>
  <c r="BD63" i="50"/>
  <c r="AX63" i="50"/>
  <c r="AR63" i="50"/>
  <c r="AJ63" i="50"/>
  <c r="AC63" i="50"/>
  <c r="BO63" i="50"/>
  <c r="BH63" i="50"/>
  <c r="BB63" i="50"/>
  <c r="AP63" i="50"/>
  <c r="AI63" i="50"/>
  <c r="AB63" i="50"/>
  <c r="BM63" i="50"/>
  <c r="BA63" i="50"/>
  <c r="AO63" i="50"/>
  <c r="Z63" i="50"/>
  <c r="BL63" i="50"/>
  <c r="AY63" i="50"/>
  <c r="AN63" i="50"/>
  <c r="BQ63" i="50"/>
  <c r="AS63" i="50"/>
  <c r="BG63" i="50"/>
  <c r="AH63" i="50"/>
  <c r="Q63" i="50"/>
  <c r="BF63" i="50"/>
  <c r="AE63" i="50"/>
  <c r="AT63" i="50"/>
  <c r="R82" i="50"/>
  <c r="AD82" i="50"/>
  <c r="AK82" i="50"/>
  <c r="BQ82" i="50"/>
  <c r="BM82" i="50"/>
  <c r="BH82" i="50"/>
  <c r="BD82" i="50"/>
  <c r="AY82" i="50"/>
  <c r="AT82" i="50"/>
  <c r="AP82" i="50"/>
  <c r="AJ82" i="50"/>
  <c r="AE82" i="50"/>
  <c r="Z82" i="50"/>
  <c r="BR82" i="50"/>
  <c r="BL82" i="50"/>
  <c r="BF82" i="50"/>
  <c r="AZ82" i="50"/>
  <c r="AS82" i="50"/>
  <c r="AN82" i="50"/>
  <c r="AG82" i="50"/>
  <c r="BN82" i="50"/>
  <c r="BE82" i="50"/>
  <c r="AW82" i="50"/>
  <c r="AO82" i="50"/>
  <c r="AC82" i="50"/>
  <c r="BO82" i="50"/>
  <c r="BB82" i="50"/>
  <c r="AR82" i="50"/>
  <c r="AH82" i="50"/>
  <c r="BJ82" i="50"/>
  <c r="BA82" i="50"/>
  <c r="AQ82" i="50"/>
  <c r="AB82" i="50"/>
  <c r="BG82" i="50"/>
  <c r="AI82" i="50"/>
  <c r="AX82" i="50"/>
  <c r="AA82" i="50"/>
  <c r="AL82" i="50"/>
  <c r="Q82" i="50"/>
  <c r="BP82" i="50"/>
  <c r="BI82" i="50"/>
  <c r="AV82" i="50"/>
  <c r="R89" i="50"/>
  <c r="AD89" i="50"/>
  <c r="BR89" i="50"/>
  <c r="BN89" i="50"/>
  <c r="BI89" i="50"/>
  <c r="BE89" i="50"/>
  <c r="AZ89" i="50"/>
  <c r="AV89" i="50"/>
  <c r="AQ89" i="50"/>
  <c r="AL89" i="50"/>
  <c r="AG89" i="50"/>
  <c r="AA89" i="50"/>
  <c r="BQ89" i="50"/>
  <c r="BM89" i="50"/>
  <c r="BH89" i="50"/>
  <c r="BD89" i="50"/>
  <c r="AY89" i="50"/>
  <c r="AT89" i="50"/>
  <c r="AP89" i="50"/>
  <c r="AJ89" i="50"/>
  <c r="AE89" i="50"/>
  <c r="Z89" i="50"/>
  <c r="AK89" i="50"/>
  <c r="BP89" i="50"/>
  <c r="BG89" i="50"/>
  <c r="AX89" i="50"/>
  <c r="AO89" i="50"/>
  <c r="AC89" i="50"/>
  <c r="BL89" i="50"/>
  <c r="BA89" i="50"/>
  <c r="AN89" i="50"/>
  <c r="BO89" i="50"/>
  <c r="AW89" i="50"/>
  <c r="AH89" i="50"/>
  <c r="BJ89" i="50"/>
  <c r="AR89" i="50"/>
  <c r="BF89" i="50"/>
  <c r="AI89" i="50"/>
  <c r="AB89" i="50"/>
  <c r="Q89" i="50"/>
  <c r="BB89" i="50"/>
  <c r="AS89" i="50"/>
  <c r="R7" i="50"/>
  <c r="U7" i="50" s="1"/>
  <c r="AK7" i="50"/>
  <c r="AD7" i="50"/>
  <c r="BO7" i="50"/>
  <c r="BJ7" i="50"/>
  <c r="BF7" i="50"/>
  <c r="BA7" i="50"/>
  <c r="AW7" i="50"/>
  <c r="AR7" i="50"/>
  <c r="AN7" i="50"/>
  <c r="AH7" i="50"/>
  <c r="AB7" i="50"/>
  <c r="BQ7" i="50"/>
  <c r="BH7" i="50"/>
  <c r="AY7" i="50"/>
  <c r="AP7" i="50"/>
  <c r="AE7" i="50"/>
  <c r="BP7" i="50"/>
  <c r="BG7" i="50"/>
  <c r="BB7" i="50"/>
  <c r="AS7" i="50"/>
  <c r="AI7" i="50"/>
  <c r="BR7" i="50"/>
  <c r="BN7" i="50"/>
  <c r="BI7" i="50"/>
  <c r="BE7" i="50"/>
  <c r="AZ7" i="50"/>
  <c r="AV7" i="50"/>
  <c r="AQ7" i="50"/>
  <c r="AL7" i="50"/>
  <c r="AG7" i="50"/>
  <c r="AA7" i="50"/>
  <c r="BM7" i="50"/>
  <c r="BD7" i="50"/>
  <c r="AT7" i="50"/>
  <c r="AJ7" i="50"/>
  <c r="Z7" i="50"/>
  <c r="Q7" i="50"/>
  <c r="BL7" i="50"/>
  <c r="AX7" i="50"/>
  <c r="AO7" i="50"/>
  <c r="AC7" i="50"/>
  <c r="AD22" i="50"/>
  <c r="AK22" i="50"/>
  <c r="BP22" i="50"/>
  <c r="BL22" i="50"/>
  <c r="BG22" i="50"/>
  <c r="BB22" i="50"/>
  <c r="AX22" i="50"/>
  <c r="AS22" i="50"/>
  <c r="AO22" i="50"/>
  <c r="AI22" i="50"/>
  <c r="AC22" i="50"/>
  <c r="BO22" i="50"/>
  <c r="BJ22" i="50"/>
  <c r="BF22" i="50"/>
  <c r="BA22" i="50"/>
  <c r="AW22" i="50"/>
  <c r="AR22" i="50"/>
  <c r="AN22" i="50"/>
  <c r="AH22" i="50"/>
  <c r="AB22" i="50"/>
  <c r="BM22" i="50"/>
  <c r="BD22" i="50"/>
  <c r="AT22" i="50"/>
  <c r="AJ22" i="50"/>
  <c r="Z22" i="50"/>
  <c r="BQ22" i="50"/>
  <c r="AY22" i="50"/>
  <c r="AE22" i="50"/>
  <c r="BN22" i="50"/>
  <c r="AV22" i="50"/>
  <c r="AA22" i="50"/>
  <c r="Q22" i="50"/>
  <c r="BR22" i="50"/>
  <c r="BI22" i="50"/>
  <c r="AZ22" i="50"/>
  <c r="AQ22" i="50"/>
  <c r="AG22" i="50"/>
  <c r="BH22" i="50"/>
  <c r="AP22" i="50"/>
  <c r="BE22" i="50"/>
  <c r="AL22" i="50"/>
  <c r="R28" i="50"/>
  <c r="X28" i="50" s="1"/>
  <c r="AK28" i="50"/>
  <c r="AD28" i="50"/>
  <c r="BP28" i="50"/>
  <c r="BL28" i="50"/>
  <c r="BG28" i="50"/>
  <c r="BB28" i="50"/>
  <c r="AX28" i="50"/>
  <c r="AS28" i="50"/>
  <c r="AO28" i="50"/>
  <c r="AI28" i="50"/>
  <c r="AC28" i="50"/>
  <c r="BO28" i="50"/>
  <c r="BJ28" i="50"/>
  <c r="BF28" i="50"/>
  <c r="BA28" i="50"/>
  <c r="AW28" i="50"/>
  <c r="AR28" i="50"/>
  <c r="AN28" i="50"/>
  <c r="AH28" i="50"/>
  <c r="AB28" i="50"/>
  <c r="BQ28" i="50"/>
  <c r="BH28" i="50"/>
  <c r="AY28" i="50"/>
  <c r="AP28" i="50"/>
  <c r="AE28" i="50"/>
  <c r="BD28" i="50"/>
  <c r="AJ28" i="50"/>
  <c r="BR28" i="50"/>
  <c r="AZ28" i="50"/>
  <c r="AG28" i="50"/>
  <c r="BN28" i="50"/>
  <c r="BE28" i="50"/>
  <c r="AV28" i="50"/>
  <c r="AL28" i="50"/>
  <c r="AA28" i="50"/>
  <c r="Q28" i="50"/>
  <c r="BM28" i="50"/>
  <c r="AT28" i="50"/>
  <c r="Z28" i="50"/>
  <c r="BI28" i="50"/>
  <c r="AQ28" i="50"/>
  <c r="R45" i="50"/>
  <c r="X45" i="50" s="1"/>
  <c r="AD45" i="50"/>
  <c r="AK45" i="50"/>
  <c r="BQ45" i="50"/>
  <c r="BM45" i="50"/>
  <c r="BH45" i="50"/>
  <c r="BD45" i="50"/>
  <c r="AY45" i="50"/>
  <c r="AT45" i="50"/>
  <c r="AP45" i="50"/>
  <c r="AJ45" i="50"/>
  <c r="AE45" i="50"/>
  <c r="Z45" i="50"/>
  <c r="BP45" i="50"/>
  <c r="BL45" i="50"/>
  <c r="BG45" i="50"/>
  <c r="BB45" i="50"/>
  <c r="AX45" i="50"/>
  <c r="AS45" i="50"/>
  <c r="AO45" i="50"/>
  <c r="AI45" i="50"/>
  <c r="AC45" i="50"/>
  <c r="BO45" i="50"/>
  <c r="BF45" i="50"/>
  <c r="AW45" i="50"/>
  <c r="AN45" i="50"/>
  <c r="AB45" i="50"/>
  <c r="BN45" i="50"/>
  <c r="BE45" i="50"/>
  <c r="AV45" i="50"/>
  <c r="AL45" i="50"/>
  <c r="AA45" i="50"/>
  <c r="BI45" i="50"/>
  <c r="AQ45" i="50"/>
  <c r="BJ45" i="50"/>
  <c r="BA45" i="50"/>
  <c r="AH45" i="50"/>
  <c r="BR45" i="50"/>
  <c r="AZ45" i="50"/>
  <c r="AG45" i="50"/>
  <c r="AR45" i="50"/>
  <c r="Q45" i="50"/>
  <c r="AD73" i="50"/>
  <c r="BO73" i="50"/>
  <c r="BJ73" i="50"/>
  <c r="BF73" i="50"/>
  <c r="BA73" i="50"/>
  <c r="AW73" i="50"/>
  <c r="AR73" i="50"/>
  <c r="AN73" i="50"/>
  <c r="AH73" i="50"/>
  <c r="AB73" i="50"/>
  <c r="BR73" i="50"/>
  <c r="BM73" i="50"/>
  <c r="BG73" i="50"/>
  <c r="AZ73" i="50"/>
  <c r="AT73" i="50"/>
  <c r="AO73" i="50"/>
  <c r="AG73" i="50"/>
  <c r="Z73" i="50"/>
  <c r="AK73" i="50"/>
  <c r="BQ73" i="50"/>
  <c r="BI73" i="50"/>
  <c r="BB73" i="50"/>
  <c r="AS73" i="50"/>
  <c r="AJ73" i="50"/>
  <c r="AA73" i="50"/>
  <c r="BP73" i="50"/>
  <c r="BH73" i="50"/>
  <c r="AY73" i="50"/>
  <c r="AQ73" i="50"/>
  <c r="AI73" i="50"/>
  <c r="BN73" i="50"/>
  <c r="AX73" i="50"/>
  <c r="AE73" i="50"/>
  <c r="BL73" i="50"/>
  <c r="AV73" i="50"/>
  <c r="AC73" i="50"/>
  <c r="AL73" i="50"/>
  <c r="Q73" i="50"/>
  <c r="AP73" i="50"/>
  <c r="BE73" i="50"/>
  <c r="BD73" i="50"/>
  <c r="AK75" i="50"/>
  <c r="AD75" i="50"/>
  <c r="BO75" i="50"/>
  <c r="BJ75" i="50"/>
  <c r="BF75" i="50"/>
  <c r="BA75" i="50"/>
  <c r="AW75" i="50"/>
  <c r="AR75" i="50"/>
  <c r="AN75" i="50"/>
  <c r="AH75" i="50"/>
  <c r="AB75" i="50"/>
  <c r="BQ75" i="50"/>
  <c r="BL75" i="50"/>
  <c r="BE75" i="50"/>
  <c r="AY75" i="50"/>
  <c r="AS75" i="50"/>
  <c r="AL75" i="50"/>
  <c r="AE75" i="50"/>
  <c r="BM75" i="50"/>
  <c r="BD75" i="50"/>
  <c r="AV75" i="50"/>
  <c r="AO75" i="50"/>
  <c r="AC75" i="50"/>
  <c r="BR75" i="50"/>
  <c r="BB75" i="50"/>
  <c r="AT75" i="50"/>
  <c r="AJ75" i="50"/>
  <c r="AA75" i="50"/>
  <c r="BH75" i="50"/>
  <c r="AQ75" i="50"/>
  <c r="Z75" i="50"/>
  <c r="BG75" i="50"/>
  <c r="AP75" i="50"/>
  <c r="AX75" i="50"/>
  <c r="Q75" i="50"/>
  <c r="BP75" i="50"/>
  <c r="AI75" i="50"/>
  <c r="BN75" i="50"/>
  <c r="AG75" i="50"/>
  <c r="AZ75" i="50"/>
  <c r="AK84" i="50"/>
  <c r="AD84" i="50"/>
  <c r="BQ84" i="50"/>
  <c r="BM84" i="50"/>
  <c r="BH84" i="50"/>
  <c r="BD84" i="50"/>
  <c r="AY84" i="50"/>
  <c r="AT84" i="50"/>
  <c r="AP84" i="50"/>
  <c r="AJ84" i="50"/>
  <c r="AE84" i="50"/>
  <c r="Z84" i="50"/>
  <c r="BO84" i="50"/>
  <c r="BI84" i="50"/>
  <c r="BB84" i="50"/>
  <c r="AW84" i="50"/>
  <c r="AQ84" i="50"/>
  <c r="AI84" i="50"/>
  <c r="AB84" i="50"/>
  <c r="BP84" i="50"/>
  <c r="BG84" i="50"/>
  <c r="AZ84" i="50"/>
  <c r="AR84" i="50"/>
  <c r="AH84" i="50"/>
  <c r="BJ84" i="50"/>
  <c r="AX84" i="50"/>
  <c r="AN84" i="50"/>
  <c r="AA84" i="50"/>
  <c r="BR84" i="50"/>
  <c r="BF84" i="50"/>
  <c r="AV84" i="50"/>
  <c r="AL84" i="50"/>
  <c r="BN84" i="50"/>
  <c r="AS84" i="50"/>
  <c r="BL84" i="50"/>
  <c r="AO84" i="50"/>
  <c r="BA84" i="50"/>
  <c r="BE84" i="50"/>
  <c r="AG84" i="50"/>
  <c r="Q84" i="50"/>
  <c r="AC84" i="50"/>
  <c r="R3" i="50"/>
  <c r="AK3" i="50"/>
  <c r="AD3" i="50"/>
  <c r="BO3" i="50"/>
  <c r="BJ3" i="50"/>
  <c r="BF3" i="50"/>
  <c r="BA3" i="50"/>
  <c r="AW3" i="50"/>
  <c r="AR3" i="50"/>
  <c r="AN3" i="50"/>
  <c r="AH3" i="50"/>
  <c r="AB3" i="50"/>
  <c r="BQ3" i="50"/>
  <c r="BH3" i="50"/>
  <c r="AY3" i="50"/>
  <c r="AP3" i="50"/>
  <c r="AE3" i="50"/>
  <c r="Q3" i="50"/>
  <c r="BL3" i="50"/>
  <c r="BB3" i="50"/>
  <c r="AS3" i="50"/>
  <c r="AI3" i="50"/>
  <c r="BR3" i="50"/>
  <c r="BN3" i="50"/>
  <c r="BI3" i="50"/>
  <c r="BE3" i="50"/>
  <c r="AZ3" i="50"/>
  <c r="AV3" i="50"/>
  <c r="AQ3" i="50"/>
  <c r="AL3" i="50"/>
  <c r="AG3" i="50"/>
  <c r="AA3" i="50"/>
  <c r="BM3" i="50"/>
  <c r="BD3" i="50"/>
  <c r="AT3" i="50"/>
  <c r="AJ3" i="50"/>
  <c r="Z3" i="50"/>
  <c r="BP3" i="50"/>
  <c r="BG3" i="50"/>
  <c r="AX3" i="50"/>
  <c r="AO3" i="50"/>
  <c r="AC3" i="50"/>
  <c r="R4" i="50"/>
  <c r="X4" i="50" s="1"/>
  <c r="AK4" i="50"/>
  <c r="AD4" i="50"/>
  <c r="BQ4" i="50"/>
  <c r="BM4" i="50"/>
  <c r="BH4" i="50"/>
  <c r="BD4" i="50"/>
  <c r="AY4" i="50"/>
  <c r="AT4" i="50"/>
  <c r="AP4" i="50"/>
  <c r="AJ4" i="50"/>
  <c r="AE4" i="50"/>
  <c r="Z4" i="50"/>
  <c r="BJ4" i="50"/>
  <c r="BA4" i="50"/>
  <c r="AR4" i="50"/>
  <c r="AH4" i="50"/>
  <c r="BN4" i="50"/>
  <c r="BE4" i="50"/>
  <c r="AV4" i="50"/>
  <c r="AL4" i="50"/>
  <c r="AA4" i="50"/>
  <c r="BP4" i="50"/>
  <c r="BL4" i="50"/>
  <c r="BG4" i="50"/>
  <c r="BB4" i="50"/>
  <c r="AX4" i="50"/>
  <c r="AS4" i="50"/>
  <c r="AO4" i="50"/>
  <c r="AI4" i="50"/>
  <c r="AC4" i="50"/>
  <c r="Q4" i="50"/>
  <c r="BO4" i="50"/>
  <c r="BF4" i="50"/>
  <c r="AW4" i="50"/>
  <c r="AN4" i="50"/>
  <c r="AB4" i="50"/>
  <c r="BR4" i="50"/>
  <c r="BI4" i="50"/>
  <c r="AZ4" i="50"/>
  <c r="AQ4" i="50"/>
  <c r="AG4" i="50"/>
  <c r="AD5" i="50"/>
  <c r="AK5" i="50"/>
  <c r="BO5" i="50"/>
  <c r="BJ5" i="50"/>
  <c r="BF5" i="50"/>
  <c r="BA5" i="50"/>
  <c r="AW5" i="50"/>
  <c r="AR5" i="50"/>
  <c r="AN5" i="50"/>
  <c r="AH5" i="50"/>
  <c r="AB5" i="50"/>
  <c r="Q5" i="50"/>
  <c r="BM5" i="50"/>
  <c r="BD5" i="50"/>
  <c r="AT5" i="50"/>
  <c r="AJ5" i="50"/>
  <c r="Z5" i="50"/>
  <c r="BP5" i="50"/>
  <c r="BG5" i="50"/>
  <c r="AX5" i="50"/>
  <c r="AO5" i="50"/>
  <c r="AC5" i="50"/>
  <c r="BR5" i="50"/>
  <c r="BN5" i="50"/>
  <c r="BI5" i="50"/>
  <c r="BE5" i="50"/>
  <c r="AZ5" i="50"/>
  <c r="AV5" i="50"/>
  <c r="AQ5" i="50"/>
  <c r="AL5" i="50"/>
  <c r="AG5" i="50"/>
  <c r="AA5" i="50"/>
  <c r="BQ5" i="50"/>
  <c r="BH5" i="50"/>
  <c r="AY5" i="50"/>
  <c r="AP5" i="50"/>
  <c r="AE5" i="50"/>
  <c r="BL5" i="50"/>
  <c r="BB5" i="50"/>
  <c r="AS5" i="50"/>
  <c r="AI5" i="50"/>
  <c r="AD6" i="50"/>
  <c r="AK6" i="50"/>
  <c r="BQ6" i="50"/>
  <c r="BM6" i="50"/>
  <c r="BH6" i="50"/>
  <c r="BD6" i="50"/>
  <c r="AY6" i="50"/>
  <c r="AT6" i="50"/>
  <c r="AP6" i="50"/>
  <c r="AJ6" i="50"/>
  <c r="AE6" i="50"/>
  <c r="Z6" i="50"/>
  <c r="BO6" i="50"/>
  <c r="BF6" i="50"/>
  <c r="AW6" i="50"/>
  <c r="AN6" i="50"/>
  <c r="AB6" i="50"/>
  <c r="BR6" i="50"/>
  <c r="BI6" i="50"/>
  <c r="AZ6" i="50"/>
  <c r="AQ6" i="50"/>
  <c r="AG6" i="50"/>
  <c r="BP6" i="50"/>
  <c r="BL6" i="50"/>
  <c r="BG6" i="50"/>
  <c r="BB6" i="50"/>
  <c r="AX6" i="50"/>
  <c r="AS6" i="50"/>
  <c r="AO6" i="50"/>
  <c r="AI6" i="50"/>
  <c r="AC6" i="50"/>
  <c r="BJ6" i="50"/>
  <c r="BA6" i="50"/>
  <c r="AR6" i="50"/>
  <c r="AH6" i="50"/>
  <c r="BN6" i="50"/>
  <c r="BE6" i="50"/>
  <c r="AV6" i="50"/>
  <c r="AL6" i="50"/>
  <c r="AA6" i="50"/>
  <c r="Q6" i="50"/>
  <c r="R10" i="50"/>
  <c r="T10" i="50" s="1"/>
  <c r="AD10" i="50"/>
  <c r="AK10" i="50"/>
  <c r="BQ10" i="50"/>
  <c r="BM10" i="50"/>
  <c r="BH10" i="50"/>
  <c r="BD10" i="50"/>
  <c r="AY10" i="50"/>
  <c r="AT10" i="50"/>
  <c r="AP10" i="50"/>
  <c r="AJ10" i="50"/>
  <c r="AE10" i="50"/>
  <c r="Z10" i="50"/>
  <c r="BO10" i="50"/>
  <c r="BF10" i="50"/>
  <c r="AW10" i="50"/>
  <c r="AN10" i="50"/>
  <c r="AB10" i="50"/>
  <c r="BR10" i="50"/>
  <c r="BI10" i="50"/>
  <c r="AZ10" i="50"/>
  <c r="AL10" i="50"/>
  <c r="AA10" i="50"/>
  <c r="Q10" i="50"/>
  <c r="BP10" i="50"/>
  <c r="BL10" i="50"/>
  <c r="BG10" i="50"/>
  <c r="BB10" i="50"/>
  <c r="AX10" i="50"/>
  <c r="AS10" i="50"/>
  <c r="AO10" i="50"/>
  <c r="AI10" i="50"/>
  <c r="AC10" i="50"/>
  <c r="BJ10" i="50"/>
  <c r="BA10" i="50"/>
  <c r="AR10" i="50"/>
  <c r="AH10" i="50"/>
  <c r="BN10" i="50"/>
  <c r="BE10" i="50"/>
  <c r="AV10" i="50"/>
  <c r="AQ10" i="50"/>
  <c r="AG10" i="50"/>
  <c r="R11" i="50"/>
  <c r="X11" i="50" s="1"/>
  <c r="AK11" i="50"/>
  <c r="AD11" i="50"/>
  <c r="BQ11" i="50"/>
  <c r="BM11" i="50"/>
  <c r="BH11" i="50"/>
  <c r="BD11" i="50"/>
  <c r="BN11" i="50"/>
  <c r="BG11" i="50"/>
  <c r="BA11" i="50"/>
  <c r="AW11" i="50"/>
  <c r="AR11" i="50"/>
  <c r="AN11" i="50"/>
  <c r="AH11" i="50"/>
  <c r="AB11" i="50"/>
  <c r="BJ11" i="50"/>
  <c r="AY11" i="50"/>
  <c r="AP11" i="50"/>
  <c r="AE11" i="50"/>
  <c r="Q11" i="50"/>
  <c r="BO11" i="50"/>
  <c r="BB11" i="50"/>
  <c r="AS11" i="50"/>
  <c r="AI11" i="50"/>
  <c r="BR11" i="50"/>
  <c r="BL11" i="50"/>
  <c r="BF11" i="50"/>
  <c r="AZ11" i="50"/>
  <c r="AV11" i="50"/>
  <c r="AQ11" i="50"/>
  <c r="AL11" i="50"/>
  <c r="AG11" i="50"/>
  <c r="AA11" i="50"/>
  <c r="BP11" i="50"/>
  <c r="BE11" i="50"/>
  <c r="AT11" i="50"/>
  <c r="AJ11" i="50"/>
  <c r="Z11" i="50"/>
  <c r="BI11" i="50"/>
  <c r="AX11" i="50"/>
  <c r="AO11" i="50"/>
  <c r="AC11" i="50"/>
  <c r="R12" i="50"/>
  <c r="AK12" i="50"/>
  <c r="AD12" i="50"/>
  <c r="BO12" i="50"/>
  <c r="BJ12" i="50"/>
  <c r="BF12" i="50"/>
  <c r="BA12" i="50"/>
  <c r="AW12" i="50"/>
  <c r="AR12" i="50"/>
  <c r="AN12" i="50"/>
  <c r="AH12" i="50"/>
  <c r="AB12" i="50"/>
  <c r="BR12" i="50"/>
  <c r="BM12" i="50"/>
  <c r="BG12" i="50"/>
  <c r="AZ12" i="50"/>
  <c r="AT12" i="50"/>
  <c r="AO12" i="50"/>
  <c r="AG12" i="50"/>
  <c r="Z12" i="50"/>
  <c r="BP12" i="50"/>
  <c r="BD12" i="50"/>
  <c r="AQ12" i="50"/>
  <c r="AC12" i="50"/>
  <c r="BH12" i="50"/>
  <c r="AV12" i="50"/>
  <c r="AI12" i="50"/>
  <c r="BQ12" i="50"/>
  <c r="BL12" i="50"/>
  <c r="BE12" i="50"/>
  <c r="AY12" i="50"/>
  <c r="AS12" i="50"/>
  <c r="AL12" i="50"/>
  <c r="AE12" i="50"/>
  <c r="Q12" i="50"/>
  <c r="BI12" i="50"/>
  <c r="AX12" i="50"/>
  <c r="AJ12" i="50"/>
  <c r="BN12" i="50"/>
  <c r="BB12" i="50"/>
  <c r="AP12" i="50"/>
  <c r="AA12" i="50"/>
  <c r="R13" i="50"/>
  <c r="AD13" i="50"/>
  <c r="AK13" i="50"/>
  <c r="BR13" i="50"/>
  <c r="BN13" i="50"/>
  <c r="BI13" i="50"/>
  <c r="BQ13" i="50"/>
  <c r="BM13" i="50"/>
  <c r="BH13" i="50"/>
  <c r="BD13" i="50"/>
  <c r="AY13" i="50"/>
  <c r="AT13" i="50"/>
  <c r="AP13" i="50"/>
  <c r="AJ13" i="50"/>
  <c r="AE13" i="50"/>
  <c r="Z13" i="50"/>
  <c r="BO13" i="50"/>
  <c r="BF13" i="50"/>
  <c r="AZ13" i="50"/>
  <c r="AS13" i="50"/>
  <c r="AN13" i="50"/>
  <c r="AG13" i="50"/>
  <c r="Q13" i="50"/>
  <c r="BJ13" i="50"/>
  <c r="AW13" i="50"/>
  <c r="AI13" i="50"/>
  <c r="BP13" i="50"/>
  <c r="BA13" i="50"/>
  <c r="AO13" i="50"/>
  <c r="AA13" i="50"/>
  <c r="BL13" i="50"/>
  <c r="BE13" i="50"/>
  <c r="AX13" i="50"/>
  <c r="AR13" i="50"/>
  <c r="AL13" i="50"/>
  <c r="AC13" i="50"/>
  <c r="BB13" i="50"/>
  <c r="AQ13" i="50"/>
  <c r="AB13" i="50"/>
  <c r="BG13" i="50"/>
  <c r="AV13" i="50"/>
  <c r="AH13" i="50"/>
  <c r="R14" i="50"/>
  <c r="X14" i="50" s="1"/>
  <c r="AD14" i="50"/>
  <c r="AK14" i="50"/>
  <c r="BP14" i="50"/>
  <c r="BL14" i="50"/>
  <c r="BG14" i="50"/>
  <c r="BB14" i="50"/>
  <c r="AX14" i="50"/>
  <c r="AS14" i="50"/>
  <c r="AO14" i="50"/>
  <c r="AI14" i="50"/>
  <c r="AC14" i="50"/>
  <c r="BO14" i="50"/>
  <c r="BJ14" i="50"/>
  <c r="BF14" i="50"/>
  <c r="BA14" i="50"/>
  <c r="AW14" i="50"/>
  <c r="AR14" i="50"/>
  <c r="AN14" i="50"/>
  <c r="AH14" i="50"/>
  <c r="AB14" i="50"/>
  <c r="BQ14" i="50"/>
  <c r="BH14" i="50"/>
  <c r="AY14" i="50"/>
  <c r="AP14" i="50"/>
  <c r="AE14" i="50"/>
  <c r="BD14" i="50"/>
  <c r="AJ14" i="50"/>
  <c r="BI14" i="50"/>
  <c r="AQ14" i="50"/>
  <c r="Q14" i="50"/>
  <c r="BN14" i="50"/>
  <c r="BE14" i="50"/>
  <c r="AV14" i="50"/>
  <c r="AL14" i="50"/>
  <c r="AA14" i="50"/>
  <c r="BM14" i="50"/>
  <c r="AT14" i="50"/>
  <c r="Z14" i="50"/>
  <c r="BR14" i="50"/>
  <c r="AZ14" i="50"/>
  <c r="AG14" i="50"/>
  <c r="R15" i="50"/>
  <c r="X15" i="50" s="1"/>
  <c r="AK15" i="50"/>
  <c r="AD15" i="50"/>
  <c r="BR15" i="50"/>
  <c r="BN15" i="50"/>
  <c r="BI15" i="50"/>
  <c r="BE15" i="50"/>
  <c r="AZ15" i="50"/>
  <c r="AV15" i="50"/>
  <c r="AQ15" i="50"/>
  <c r="AL15" i="50"/>
  <c r="AG15" i="50"/>
  <c r="AA15" i="50"/>
  <c r="BQ15" i="50"/>
  <c r="BM15" i="50"/>
  <c r="BH15" i="50"/>
  <c r="BD15" i="50"/>
  <c r="AY15" i="50"/>
  <c r="AT15" i="50"/>
  <c r="AP15" i="50"/>
  <c r="AJ15" i="50"/>
  <c r="AE15" i="50"/>
  <c r="Z15" i="50"/>
  <c r="BJ15" i="50"/>
  <c r="BA15" i="50"/>
  <c r="AR15" i="50"/>
  <c r="AH15" i="50"/>
  <c r="BO15" i="50"/>
  <c r="AW15" i="50"/>
  <c r="AB15" i="50"/>
  <c r="BB15" i="50"/>
  <c r="AI15" i="50"/>
  <c r="BP15" i="50"/>
  <c r="BG15" i="50"/>
  <c r="AX15" i="50"/>
  <c r="AO15" i="50"/>
  <c r="AC15" i="50"/>
  <c r="BF15" i="50"/>
  <c r="AN15" i="50"/>
  <c r="Q15" i="50"/>
  <c r="BL15" i="50"/>
  <c r="AS15" i="50"/>
  <c r="R16" i="50"/>
  <c r="X16" i="50" s="1"/>
  <c r="AK16" i="50"/>
  <c r="AD16" i="50"/>
  <c r="BP16" i="50"/>
  <c r="BL16" i="50"/>
  <c r="BG16" i="50"/>
  <c r="BB16" i="50"/>
  <c r="AX16" i="50"/>
  <c r="AS16" i="50"/>
  <c r="AO16" i="50"/>
  <c r="AI16" i="50"/>
  <c r="AC16" i="50"/>
  <c r="BO16" i="50"/>
  <c r="BJ16" i="50"/>
  <c r="BF16" i="50"/>
  <c r="BA16" i="50"/>
  <c r="AW16" i="50"/>
  <c r="AR16" i="50"/>
  <c r="AN16" i="50"/>
  <c r="AH16" i="50"/>
  <c r="AB16" i="50"/>
  <c r="BM16" i="50"/>
  <c r="BD16" i="50"/>
  <c r="AT16" i="50"/>
  <c r="AJ16" i="50"/>
  <c r="Z16" i="50"/>
  <c r="BQ16" i="50"/>
  <c r="BH16" i="50"/>
  <c r="AP16" i="50"/>
  <c r="BN16" i="50"/>
  <c r="AV16" i="50"/>
  <c r="AA16" i="50"/>
  <c r="BR16" i="50"/>
  <c r="BI16" i="50"/>
  <c r="AZ16" i="50"/>
  <c r="AQ16" i="50"/>
  <c r="AG16" i="50"/>
  <c r="Q16" i="50"/>
  <c r="AY16" i="50"/>
  <c r="AE16" i="50"/>
  <c r="BE16" i="50"/>
  <c r="AL16" i="50"/>
  <c r="AD21" i="50"/>
  <c r="AK21" i="50"/>
  <c r="BR21" i="50"/>
  <c r="BN21" i="50"/>
  <c r="BI21" i="50"/>
  <c r="BE21" i="50"/>
  <c r="AZ21" i="50"/>
  <c r="AV21" i="50"/>
  <c r="AQ21" i="50"/>
  <c r="AL21" i="50"/>
  <c r="AG21" i="50"/>
  <c r="AA21" i="50"/>
  <c r="BQ21" i="50"/>
  <c r="BM21" i="50"/>
  <c r="BH21" i="50"/>
  <c r="BD21" i="50"/>
  <c r="AY21" i="50"/>
  <c r="AT21" i="50"/>
  <c r="AP21" i="50"/>
  <c r="AJ21" i="50"/>
  <c r="AE21" i="50"/>
  <c r="Z21" i="50"/>
  <c r="BJ21" i="50"/>
  <c r="BA21" i="50"/>
  <c r="AR21" i="50"/>
  <c r="AH21" i="50"/>
  <c r="Q21" i="50"/>
  <c r="BF21" i="50"/>
  <c r="AN21" i="50"/>
  <c r="BB21" i="50"/>
  <c r="AI21" i="50"/>
  <c r="BP21" i="50"/>
  <c r="BG21" i="50"/>
  <c r="AX21" i="50"/>
  <c r="AO21" i="50"/>
  <c r="AC21" i="50"/>
  <c r="BO21" i="50"/>
  <c r="AW21" i="50"/>
  <c r="AB21" i="50"/>
  <c r="BL21" i="50"/>
  <c r="AS21" i="50"/>
  <c r="AK23" i="50"/>
  <c r="AD23" i="50"/>
  <c r="BR23" i="50"/>
  <c r="BN23" i="50"/>
  <c r="BI23" i="50"/>
  <c r="BE23" i="50"/>
  <c r="AZ23" i="50"/>
  <c r="AV23" i="50"/>
  <c r="AQ23" i="50"/>
  <c r="AL23" i="50"/>
  <c r="AG23" i="50"/>
  <c r="AA23" i="50"/>
  <c r="BQ23" i="50"/>
  <c r="BM23" i="50"/>
  <c r="BH23" i="50"/>
  <c r="BD23" i="50"/>
  <c r="AY23" i="50"/>
  <c r="AT23" i="50"/>
  <c r="AP23" i="50"/>
  <c r="AJ23" i="50"/>
  <c r="AE23" i="50"/>
  <c r="Z23" i="50"/>
  <c r="BO23" i="50"/>
  <c r="BF23" i="50"/>
  <c r="AW23" i="50"/>
  <c r="AN23" i="50"/>
  <c r="AB23" i="50"/>
  <c r="BJ23" i="50"/>
  <c r="AR23" i="50"/>
  <c r="Q23" i="50"/>
  <c r="BG23" i="50"/>
  <c r="AO23" i="50"/>
  <c r="BL23" i="50"/>
  <c r="BB23" i="50"/>
  <c r="AS23" i="50"/>
  <c r="AI23" i="50"/>
  <c r="BA23" i="50"/>
  <c r="AH23" i="50"/>
  <c r="BP23" i="50"/>
  <c r="AX23" i="50"/>
  <c r="AC23" i="50"/>
  <c r="AK24" i="50"/>
  <c r="AD24" i="50"/>
  <c r="BP24" i="50"/>
  <c r="BL24" i="50"/>
  <c r="BG24" i="50"/>
  <c r="BB24" i="50"/>
  <c r="AX24" i="50"/>
  <c r="AS24" i="50"/>
  <c r="AO24" i="50"/>
  <c r="AI24" i="50"/>
  <c r="AC24" i="50"/>
  <c r="BO24" i="50"/>
  <c r="BJ24" i="50"/>
  <c r="BF24" i="50"/>
  <c r="BA24" i="50"/>
  <c r="AW24" i="50"/>
  <c r="AR24" i="50"/>
  <c r="AN24" i="50"/>
  <c r="AH24" i="50"/>
  <c r="AB24" i="50"/>
  <c r="BQ24" i="50"/>
  <c r="BH24" i="50"/>
  <c r="AY24" i="50"/>
  <c r="AP24" i="50"/>
  <c r="AE24" i="50"/>
  <c r="BD24" i="50"/>
  <c r="AJ24" i="50"/>
  <c r="BR24" i="50"/>
  <c r="AZ24" i="50"/>
  <c r="AG24" i="50"/>
  <c r="BN24" i="50"/>
  <c r="BE24" i="50"/>
  <c r="AV24" i="50"/>
  <c r="AL24" i="50"/>
  <c r="AA24" i="50"/>
  <c r="Q24" i="50"/>
  <c r="BM24" i="50"/>
  <c r="AT24" i="50"/>
  <c r="Z24" i="50"/>
  <c r="BI24" i="50"/>
  <c r="AQ24" i="50"/>
  <c r="AK27" i="50"/>
  <c r="AD27" i="50"/>
  <c r="BR27" i="50"/>
  <c r="BN27" i="50"/>
  <c r="BI27" i="50"/>
  <c r="BE27" i="50"/>
  <c r="AZ27" i="50"/>
  <c r="AV27" i="50"/>
  <c r="AQ27" i="50"/>
  <c r="AL27" i="50"/>
  <c r="AG27" i="50"/>
  <c r="AA27" i="50"/>
  <c r="BQ27" i="50"/>
  <c r="BM27" i="50"/>
  <c r="BH27" i="50"/>
  <c r="BD27" i="50"/>
  <c r="AY27" i="50"/>
  <c r="AT27" i="50"/>
  <c r="AP27" i="50"/>
  <c r="AJ27" i="50"/>
  <c r="AE27" i="50"/>
  <c r="Z27" i="50"/>
  <c r="BO27" i="50"/>
  <c r="BF27" i="50"/>
  <c r="AW27" i="50"/>
  <c r="AN27" i="50"/>
  <c r="AB27" i="50"/>
  <c r="BJ27" i="50"/>
  <c r="AR27" i="50"/>
  <c r="BG27" i="50"/>
  <c r="AO27" i="50"/>
  <c r="BL27" i="50"/>
  <c r="BB27" i="50"/>
  <c r="AS27" i="50"/>
  <c r="AI27" i="50"/>
  <c r="BA27" i="50"/>
  <c r="AH27" i="50"/>
  <c r="Q27" i="50"/>
  <c r="BP27" i="50"/>
  <c r="AX27" i="50"/>
  <c r="AC27" i="50"/>
  <c r="AD33" i="50"/>
  <c r="AK33" i="50"/>
  <c r="BP33" i="50"/>
  <c r="BL33" i="50"/>
  <c r="BG33" i="50"/>
  <c r="BB33" i="50"/>
  <c r="AX33" i="50"/>
  <c r="AS33" i="50"/>
  <c r="AO33" i="50"/>
  <c r="AI33" i="50"/>
  <c r="AC33" i="50"/>
  <c r="BO33" i="50"/>
  <c r="BJ33" i="50"/>
  <c r="BF33" i="50"/>
  <c r="BA33" i="50"/>
  <c r="AW33" i="50"/>
  <c r="AR33" i="50"/>
  <c r="AN33" i="50"/>
  <c r="AH33" i="50"/>
  <c r="AB33" i="50"/>
  <c r="BM33" i="50"/>
  <c r="BD33" i="50"/>
  <c r="AT33" i="50"/>
  <c r="AJ33" i="50"/>
  <c r="Z33" i="50"/>
  <c r="AP33" i="50"/>
  <c r="BE33" i="50"/>
  <c r="AL33" i="50"/>
  <c r="Q33" i="50"/>
  <c r="BR33" i="50"/>
  <c r="BI33" i="50"/>
  <c r="AZ33" i="50"/>
  <c r="AQ33" i="50"/>
  <c r="AG33" i="50"/>
  <c r="BQ33" i="50"/>
  <c r="BH33" i="50"/>
  <c r="AY33" i="50"/>
  <c r="AE33" i="50"/>
  <c r="BN33" i="50"/>
  <c r="AV33" i="50"/>
  <c r="AA33" i="50"/>
  <c r="AK38" i="50"/>
  <c r="AD38" i="50"/>
  <c r="BO38" i="50"/>
  <c r="BJ38" i="50"/>
  <c r="BF38" i="50"/>
  <c r="BR38" i="50"/>
  <c r="BN38" i="50"/>
  <c r="BI38" i="50"/>
  <c r="BE38" i="50"/>
  <c r="AZ38" i="50"/>
  <c r="AV38" i="50"/>
  <c r="AQ38" i="50"/>
  <c r="AL38" i="50"/>
  <c r="AG38" i="50"/>
  <c r="AA38" i="50"/>
  <c r="BQ38" i="50"/>
  <c r="BH38" i="50"/>
  <c r="BA38" i="50"/>
  <c r="AT38" i="50"/>
  <c r="AO38" i="50"/>
  <c r="AH38" i="50"/>
  <c r="Z38" i="50"/>
  <c r="BP38" i="50"/>
  <c r="BG38" i="50"/>
  <c r="AY38" i="50"/>
  <c r="AS38" i="50"/>
  <c r="AN38" i="50"/>
  <c r="AE38" i="50"/>
  <c r="BB38" i="50"/>
  <c r="AP38" i="50"/>
  <c r="AB38" i="50"/>
  <c r="AR38" i="50"/>
  <c r="AC38" i="50"/>
  <c r="BM38" i="50"/>
  <c r="AX38" i="50"/>
  <c r="AJ38" i="50"/>
  <c r="BL38" i="50"/>
  <c r="AW38" i="50"/>
  <c r="AI38" i="50"/>
  <c r="BD38" i="50"/>
  <c r="R40" i="50"/>
  <c r="U40" i="50" s="1"/>
  <c r="AD40" i="50"/>
  <c r="AK40" i="50"/>
  <c r="BO40" i="50"/>
  <c r="BJ40" i="50"/>
  <c r="BF40" i="50"/>
  <c r="BA40" i="50"/>
  <c r="AW40" i="50"/>
  <c r="AR40" i="50"/>
  <c r="AN40" i="50"/>
  <c r="AH40" i="50"/>
  <c r="AB40" i="50"/>
  <c r="BR40" i="50"/>
  <c r="BN40" i="50"/>
  <c r="BI40" i="50"/>
  <c r="BE40" i="50"/>
  <c r="AZ40" i="50"/>
  <c r="AV40" i="50"/>
  <c r="AQ40" i="50"/>
  <c r="AL40" i="50"/>
  <c r="AG40" i="50"/>
  <c r="AA40" i="50"/>
  <c r="BM40" i="50"/>
  <c r="BD40" i="50"/>
  <c r="AT40" i="50"/>
  <c r="AJ40" i="50"/>
  <c r="Z40" i="50"/>
  <c r="BL40" i="50"/>
  <c r="BB40" i="50"/>
  <c r="AS40" i="50"/>
  <c r="AI40" i="50"/>
  <c r="BG40" i="50"/>
  <c r="AO40" i="50"/>
  <c r="Q40" i="50"/>
  <c r="BH40" i="50"/>
  <c r="BQ40" i="50"/>
  <c r="AY40" i="50"/>
  <c r="AE40" i="50"/>
  <c r="BP40" i="50"/>
  <c r="AX40" i="50"/>
  <c r="AC40" i="50"/>
  <c r="AP40" i="50"/>
  <c r="R41" i="50"/>
  <c r="U41" i="50" s="1"/>
  <c r="AD41" i="50"/>
  <c r="AK41" i="50"/>
  <c r="BQ41" i="50"/>
  <c r="BM41" i="50"/>
  <c r="BH41" i="50"/>
  <c r="BD41" i="50"/>
  <c r="AY41" i="50"/>
  <c r="AT41" i="50"/>
  <c r="AP41" i="50"/>
  <c r="AJ41" i="50"/>
  <c r="AE41" i="50"/>
  <c r="Z41" i="50"/>
  <c r="BP41" i="50"/>
  <c r="BL41" i="50"/>
  <c r="BG41" i="50"/>
  <c r="BB41" i="50"/>
  <c r="AX41" i="50"/>
  <c r="AS41" i="50"/>
  <c r="AO41" i="50"/>
  <c r="AI41" i="50"/>
  <c r="AC41" i="50"/>
  <c r="BO41" i="50"/>
  <c r="BF41" i="50"/>
  <c r="AW41" i="50"/>
  <c r="AN41" i="50"/>
  <c r="AB41" i="50"/>
  <c r="BN41" i="50"/>
  <c r="BE41" i="50"/>
  <c r="AV41" i="50"/>
  <c r="AL41" i="50"/>
  <c r="AA41" i="50"/>
  <c r="BR41" i="50"/>
  <c r="AZ41" i="50"/>
  <c r="AG41" i="50"/>
  <c r="BA41" i="50"/>
  <c r="Q41" i="50"/>
  <c r="BJ41" i="50"/>
  <c r="AR41" i="50"/>
  <c r="BI41" i="50"/>
  <c r="AQ41" i="50"/>
  <c r="AH41" i="50"/>
  <c r="AK50" i="50"/>
  <c r="AD50" i="50"/>
  <c r="BO50" i="50"/>
  <c r="BJ50" i="50"/>
  <c r="BF50" i="50"/>
  <c r="BA50" i="50"/>
  <c r="AW50" i="50"/>
  <c r="AR50" i="50"/>
  <c r="AN50" i="50"/>
  <c r="AH50" i="50"/>
  <c r="AB50" i="50"/>
  <c r="BR50" i="50"/>
  <c r="BN50" i="50"/>
  <c r="BI50" i="50"/>
  <c r="BE50" i="50"/>
  <c r="AZ50" i="50"/>
  <c r="AV50" i="50"/>
  <c r="AQ50" i="50"/>
  <c r="AL50" i="50"/>
  <c r="AG50" i="50"/>
  <c r="AA50" i="50"/>
  <c r="BQ50" i="50"/>
  <c r="BH50" i="50"/>
  <c r="AY50" i="50"/>
  <c r="AP50" i="50"/>
  <c r="AE50" i="50"/>
  <c r="BP50" i="50"/>
  <c r="BG50" i="50"/>
  <c r="AX50" i="50"/>
  <c r="AO50" i="50"/>
  <c r="AC50" i="50"/>
  <c r="BL50" i="50"/>
  <c r="AS50" i="50"/>
  <c r="Q50" i="50"/>
  <c r="BM50" i="50"/>
  <c r="Z50" i="50"/>
  <c r="BD50" i="50"/>
  <c r="AJ50" i="50"/>
  <c r="BB50" i="50"/>
  <c r="AI50" i="50"/>
  <c r="AT50" i="50"/>
  <c r="R53" i="50"/>
  <c r="S53" i="50" s="1"/>
  <c r="AD53" i="50"/>
  <c r="AK53" i="50"/>
  <c r="BQ53" i="50"/>
  <c r="BM53" i="50"/>
  <c r="BH53" i="50"/>
  <c r="BD53" i="50"/>
  <c r="AY53" i="50"/>
  <c r="AT53" i="50"/>
  <c r="AP53" i="50"/>
  <c r="AJ53" i="50"/>
  <c r="AE53" i="50"/>
  <c r="Z53" i="50"/>
  <c r="BP53" i="50"/>
  <c r="BL53" i="50"/>
  <c r="BG53" i="50"/>
  <c r="BB53" i="50"/>
  <c r="AX53" i="50"/>
  <c r="AS53" i="50"/>
  <c r="AO53" i="50"/>
  <c r="AI53" i="50"/>
  <c r="AC53" i="50"/>
  <c r="BO53" i="50"/>
  <c r="BF53" i="50"/>
  <c r="AW53" i="50"/>
  <c r="AN53" i="50"/>
  <c r="AB53" i="50"/>
  <c r="BN53" i="50"/>
  <c r="BE53" i="50"/>
  <c r="AV53" i="50"/>
  <c r="AL53" i="50"/>
  <c r="AA53" i="50"/>
  <c r="BI53" i="50"/>
  <c r="AQ53" i="50"/>
  <c r="AR53" i="50"/>
  <c r="BA53" i="50"/>
  <c r="AH53" i="50"/>
  <c r="BR53" i="50"/>
  <c r="AZ53" i="50"/>
  <c r="AG53" i="50"/>
  <c r="BJ53" i="50"/>
  <c r="Q53" i="50"/>
  <c r="R59" i="50"/>
  <c r="S59" i="50" s="1"/>
  <c r="AK59" i="50"/>
  <c r="AD59" i="50"/>
  <c r="BQ59" i="50"/>
  <c r="BM59" i="50"/>
  <c r="BH59" i="50"/>
  <c r="BD59" i="50"/>
  <c r="AY59" i="50"/>
  <c r="AT59" i="50"/>
  <c r="AP59" i="50"/>
  <c r="AJ59" i="50"/>
  <c r="AE59" i="50"/>
  <c r="Z59" i="50"/>
  <c r="BP59" i="50"/>
  <c r="BL59" i="50"/>
  <c r="BG59" i="50"/>
  <c r="BB59" i="50"/>
  <c r="AX59" i="50"/>
  <c r="AS59" i="50"/>
  <c r="AO59" i="50"/>
  <c r="AI59" i="50"/>
  <c r="AC59" i="50"/>
  <c r="BJ59" i="50"/>
  <c r="BA59" i="50"/>
  <c r="AR59" i="50"/>
  <c r="AH59" i="50"/>
  <c r="BR59" i="50"/>
  <c r="BI59" i="50"/>
  <c r="AZ59" i="50"/>
  <c r="AQ59" i="50"/>
  <c r="AG59" i="50"/>
  <c r="AL59" i="50"/>
  <c r="BF59" i="50"/>
  <c r="BO59" i="50"/>
  <c r="AW59" i="50"/>
  <c r="AB59" i="50"/>
  <c r="Q59" i="50"/>
  <c r="BN59" i="50"/>
  <c r="AV59" i="50"/>
  <c r="AA59" i="50"/>
  <c r="AN59" i="50"/>
  <c r="R65" i="50"/>
  <c r="W65" i="50" s="1"/>
  <c r="AD65" i="50"/>
  <c r="BQ65" i="50"/>
  <c r="BM65" i="50"/>
  <c r="BH65" i="50"/>
  <c r="BD65" i="50"/>
  <c r="AY65" i="50"/>
  <c r="AT65" i="50"/>
  <c r="AP65" i="50"/>
  <c r="BP65" i="50"/>
  <c r="BJ65" i="50"/>
  <c r="BE65" i="50"/>
  <c r="AX65" i="50"/>
  <c r="AR65" i="50"/>
  <c r="AL65" i="50"/>
  <c r="AG65" i="50"/>
  <c r="AA65" i="50"/>
  <c r="AK65" i="50"/>
  <c r="BO65" i="50"/>
  <c r="BG65" i="50"/>
  <c r="AZ65" i="50"/>
  <c r="AQ65" i="50"/>
  <c r="AI65" i="50"/>
  <c r="AB65" i="50"/>
  <c r="BN65" i="50"/>
  <c r="BF65" i="50"/>
  <c r="AW65" i="50"/>
  <c r="AO65" i="50"/>
  <c r="AH65" i="50"/>
  <c r="Z65" i="50"/>
  <c r="BB65" i="50"/>
  <c r="AN65" i="50"/>
  <c r="BR65" i="50"/>
  <c r="BA65" i="50"/>
  <c r="AJ65" i="50"/>
  <c r="BI65" i="50"/>
  <c r="AC65" i="50"/>
  <c r="AE65" i="50"/>
  <c r="Q65" i="50"/>
  <c r="AV65" i="50"/>
  <c r="AS65" i="50"/>
  <c r="BL65" i="50"/>
  <c r="R77" i="50"/>
  <c r="U77" i="50" s="1"/>
  <c r="AD77" i="50"/>
  <c r="AK77" i="50"/>
  <c r="BO77" i="50"/>
  <c r="BJ77" i="50"/>
  <c r="BF77" i="50"/>
  <c r="BA77" i="50"/>
  <c r="AW77" i="50"/>
  <c r="AR77" i="50"/>
  <c r="AN77" i="50"/>
  <c r="AH77" i="50"/>
  <c r="AB77" i="50"/>
  <c r="BR77" i="50"/>
  <c r="BM77" i="50"/>
  <c r="BG77" i="50"/>
  <c r="AZ77" i="50"/>
  <c r="AT77" i="50"/>
  <c r="AO77" i="50"/>
  <c r="AG77" i="50"/>
  <c r="Z77" i="50"/>
  <c r="BN77" i="50"/>
  <c r="BE77" i="50"/>
  <c r="AX77" i="50"/>
  <c r="AP77" i="50"/>
  <c r="AE77" i="50"/>
  <c r="BL77" i="50"/>
  <c r="BD77" i="50"/>
  <c r="AV77" i="50"/>
  <c r="AL77" i="50"/>
  <c r="AC77" i="50"/>
  <c r="BH77" i="50"/>
  <c r="AQ77" i="50"/>
  <c r="BQ77" i="50"/>
  <c r="BB77" i="50"/>
  <c r="AJ77" i="50"/>
  <c r="AS77" i="50"/>
  <c r="Q77" i="50"/>
  <c r="BP77" i="50"/>
  <c r="AI77" i="50"/>
  <c r="BI77" i="50"/>
  <c r="AA77" i="50"/>
  <c r="AY77" i="50"/>
  <c r="R79" i="50"/>
  <c r="U79" i="50" s="1"/>
  <c r="AK79" i="50"/>
  <c r="AD79" i="50"/>
  <c r="BO79" i="50"/>
  <c r="BJ79" i="50"/>
  <c r="BF79" i="50"/>
  <c r="BA79" i="50"/>
  <c r="AW79" i="50"/>
  <c r="AR79" i="50"/>
  <c r="AN79" i="50"/>
  <c r="AH79" i="50"/>
  <c r="AB79" i="50"/>
  <c r="BQ79" i="50"/>
  <c r="BL79" i="50"/>
  <c r="BE79" i="50"/>
  <c r="AY79" i="50"/>
  <c r="AS79" i="50"/>
  <c r="AL79" i="50"/>
  <c r="AE79" i="50"/>
  <c r="BP79" i="50"/>
  <c r="BH79" i="50"/>
  <c r="AZ79" i="50"/>
  <c r="AQ79" i="50"/>
  <c r="AI79" i="50"/>
  <c r="Z79" i="50"/>
  <c r="BN79" i="50"/>
  <c r="BG79" i="50"/>
  <c r="AX79" i="50"/>
  <c r="AP79" i="50"/>
  <c r="AG79" i="50"/>
  <c r="BR79" i="50"/>
  <c r="BB79" i="50"/>
  <c r="AJ79" i="50"/>
  <c r="BM79" i="50"/>
  <c r="AV79" i="50"/>
  <c r="AC79" i="50"/>
  <c r="BD79" i="50"/>
  <c r="BI79" i="50"/>
  <c r="AT79" i="50"/>
  <c r="AO79" i="50"/>
  <c r="Q79" i="50"/>
  <c r="AA79" i="50"/>
  <c r="AK87" i="50"/>
  <c r="BR87" i="50"/>
  <c r="BN87" i="50"/>
  <c r="BI87" i="50"/>
  <c r="BE87" i="50"/>
  <c r="AZ87" i="50"/>
  <c r="AV87" i="50"/>
  <c r="AQ87" i="50"/>
  <c r="AL87" i="50"/>
  <c r="AG87" i="50"/>
  <c r="AA87" i="50"/>
  <c r="BQ87" i="50"/>
  <c r="BM87" i="50"/>
  <c r="BH87" i="50"/>
  <c r="BD87" i="50"/>
  <c r="AY87" i="50"/>
  <c r="AT87" i="50"/>
  <c r="AP87" i="50"/>
  <c r="AJ87" i="50"/>
  <c r="AE87" i="50"/>
  <c r="Z87" i="50"/>
  <c r="BL87" i="50"/>
  <c r="BB87" i="50"/>
  <c r="AS87" i="50"/>
  <c r="AI87" i="50"/>
  <c r="BO87" i="50"/>
  <c r="BA87" i="50"/>
  <c r="AO87" i="50"/>
  <c r="AB87" i="50"/>
  <c r="BF87" i="50"/>
  <c r="AN87" i="50"/>
  <c r="BJ87" i="50"/>
  <c r="AR87" i="50"/>
  <c r="BG87" i="50"/>
  <c r="AH87" i="50"/>
  <c r="AC87" i="50"/>
  <c r="AD87" i="50"/>
  <c r="BP87" i="50"/>
  <c r="AX87" i="50"/>
  <c r="AW87" i="50"/>
  <c r="Q87" i="50"/>
  <c r="BT57" i="10"/>
  <c r="Q57" i="10"/>
  <c r="BT84" i="10"/>
  <c r="Q84" i="10"/>
  <c r="BT88" i="10"/>
  <c r="Q88" i="10"/>
  <c r="Q2" i="10"/>
  <c r="BU22" i="10"/>
  <c r="Q25" i="10"/>
  <c r="Q33" i="10"/>
  <c r="Q50" i="10"/>
  <c r="Q73" i="10"/>
  <c r="Q74" i="10"/>
  <c r="Q24" i="10"/>
  <c r="Q29" i="10"/>
  <c r="Q36" i="10"/>
  <c r="BP69" i="10"/>
  <c r="Q69" i="10"/>
  <c r="R89" i="10"/>
  <c r="Q89" i="10"/>
  <c r="BT49" i="10"/>
  <c r="Q49" i="10"/>
  <c r="BU85" i="10"/>
  <c r="Q85" i="10"/>
  <c r="BT13" i="10"/>
  <c r="Q13" i="10"/>
  <c r="Q26" i="10"/>
  <c r="Q20" i="10"/>
  <c r="BT48" i="10"/>
  <c r="Q48" i="10"/>
  <c r="BM58" i="10"/>
  <c r="Q58" i="10"/>
  <c r="G98" i="50"/>
  <c r="M93" i="51"/>
  <c r="R73" i="50"/>
  <c r="W73" i="50" s="1"/>
  <c r="R84" i="50"/>
  <c r="BI2" i="10"/>
  <c r="G93" i="51"/>
  <c r="N12" i="10"/>
  <c r="N16" i="10"/>
  <c r="N19" i="10"/>
  <c r="R73" i="51"/>
  <c r="W73" i="51" s="1"/>
  <c r="R74" i="51"/>
  <c r="W74" i="51" s="1"/>
  <c r="R84" i="51"/>
  <c r="M92" i="50"/>
  <c r="G93" i="50"/>
  <c r="R50" i="50"/>
  <c r="U50" i="50" s="1"/>
  <c r="M95" i="50"/>
  <c r="M92" i="10"/>
  <c r="M93" i="10"/>
  <c r="G98" i="51"/>
  <c r="M100" i="51"/>
  <c r="M93" i="50"/>
  <c r="M92" i="51"/>
  <c r="U11" i="50"/>
  <c r="R74" i="50"/>
  <c r="W74" i="50" s="1"/>
  <c r="N33" i="10"/>
  <c r="G98" i="10"/>
  <c r="R42" i="10"/>
  <c r="G93" i="10"/>
  <c r="M98" i="51"/>
  <c r="W40" i="51"/>
  <c r="G100" i="51"/>
  <c r="V67" i="10"/>
  <c r="W65" i="10"/>
  <c r="S20" i="50"/>
  <c r="V13" i="51"/>
  <c r="G100" i="50"/>
  <c r="AY73" i="10"/>
  <c r="AZ74" i="10"/>
  <c r="G84" i="51"/>
  <c r="G95" i="51" s="1"/>
  <c r="B25" i="90"/>
  <c r="B26" i="90"/>
  <c r="G84" i="50"/>
  <c r="G95" i="50" s="1"/>
  <c r="G84" i="10"/>
  <c r="B26" i="70"/>
  <c r="B26" i="71"/>
  <c r="M82" i="10"/>
  <c r="M95" i="10" s="1"/>
  <c r="K64" i="51"/>
  <c r="K64" i="10"/>
  <c r="K64" i="50"/>
  <c r="I55" i="51"/>
  <c r="I55" i="50"/>
  <c r="I55" i="10"/>
  <c r="AJ55" i="10" s="1"/>
  <c r="M55" i="51"/>
  <c r="Q55" i="51" s="1"/>
  <c r="B21" i="35"/>
  <c r="B20" i="35"/>
  <c r="B23" i="35" s="1"/>
  <c r="G50" i="50"/>
  <c r="U6" i="10"/>
  <c r="I109" i="10"/>
  <c r="U7" i="10"/>
  <c r="I107" i="10"/>
  <c r="N7" i="10"/>
  <c r="L66" i="50"/>
  <c r="L66" i="10"/>
  <c r="N66" i="10"/>
  <c r="G109" i="10"/>
  <c r="K23" i="50"/>
  <c r="B22" i="92"/>
  <c r="J21" i="10"/>
  <c r="AT21" i="10" s="1"/>
  <c r="J21" i="51"/>
  <c r="J21" i="50"/>
  <c r="M97" i="50"/>
  <c r="B22" i="75"/>
  <c r="J22" i="50"/>
  <c r="K22" i="10"/>
  <c r="BB22" i="10" s="1"/>
  <c r="L88" i="10"/>
  <c r="L88" i="50"/>
  <c r="BP33" i="10"/>
  <c r="BN38" i="10"/>
  <c r="R53" i="51"/>
  <c r="S53" i="51" s="1"/>
  <c r="N10" i="10"/>
  <c r="BC2" i="10"/>
  <c r="N36" i="10"/>
  <c r="O23" i="73"/>
  <c r="O6" i="73"/>
  <c r="O7" i="73"/>
  <c r="O16" i="73"/>
  <c r="O18" i="73"/>
  <c r="O19" i="73"/>
  <c r="P20" i="73"/>
  <c r="G92" i="50"/>
  <c r="G92" i="51"/>
  <c r="N29" i="10"/>
  <c r="BP75" i="10"/>
  <c r="R5" i="51"/>
  <c r="BM6" i="10"/>
  <c r="X5" i="50"/>
  <c r="R25" i="50"/>
  <c r="U25" i="50" s="1"/>
  <c r="W41" i="50"/>
  <c r="BT6" i="10"/>
  <c r="AI6" i="10"/>
  <c r="AI19" i="10"/>
  <c r="N65" i="10"/>
  <c r="BM87" i="10"/>
  <c r="N2" i="51"/>
  <c r="R2" i="51"/>
  <c r="U24" i="51"/>
  <c r="R26" i="51"/>
  <c r="U26" i="51" s="1"/>
  <c r="W29" i="51"/>
  <c r="U44" i="51"/>
  <c r="S87" i="51"/>
  <c r="AF21" i="10"/>
  <c r="AS59" i="10"/>
  <c r="BO66" i="10"/>
  <c r="AN87" i="10"/>
  <c r="S10" i="50"/>
  <c r="V3" i="50"/>
  <c r="X10" i="50"/>
  <c r="W78" i="50"/>
  <c r="AX3" i="10"/>
  <c r="BR13" i="10"/>
  <c r="AR14" i="10"/>
  <c r="AX22" i="10"/>
  <c r="BN22" i="10"/>
  <c r="AT25" i="10"/>
  <c r="U26" i="10"/>
  <c r="BQ26" i="10"/>
  <c r="AN33" i="10"/>
  <c r="U33" i="10"/>
  <c r="AL43" i="10"/>
  <c r="N50" i="10"/>
  <c r="AY55" i="10"/>
  <c r="AJ67" i="10"/>
  <c r="AM84" i="10"/>
  <c r="X9" i="51"/>
  <c r="S58" i="51"/>
  <c r="V46" i="50"/>
  <c r="AJ7" i="10"/>
  <c r="AB37" i="10"/>
  <c r="AV56" i="10"/>
  <c r="U22" i="51"/>
  <c r="X74" i="51"/>
  <c r="S44" i="50"/>
  <c r="S55" i="50"/>
  <c r="AQ34" i="10"/>
  <c r="AA46" i="10"/>
  <c r="BP56" i="10"/>
  <c r="AD69" i="10"/>
  <c r="W56" i="51"/>
  <c r="W60" i="51"/>
  <c r="S7" i="50"/>
  <c r="X8" i="51"/>
  <c r="X55" i="51"/>
  <c r="S80" i="50"/>
  <c r="BN2" i="10"/>
  <c r="AN15" i="10"/>
  <c r="AJ69" i="10"/>
  <c r="AM82" i="10"/>
  <c r="R2" i="50"/>
  <c r="W20" i="50"/>
  <c r="X52" i="50"/>
  <c r="U53" i="50"/>
  <c r="S73" i="50"/>
  <c r="V78" i="50"/>
  <c r="V80" i="50"/>
  <c r="U87" i="50"/>
  <c r="BJ2" i="10"/>
  <c r="BF2" i="10"/>
  <c r="BB26" i="10"/>
  <c r="AE33" i="10"/>
  <c r="AQ59" i="10"/>
  <c r="BB65" i="10"/>
  <c r="BU66" i="10"/>
  <c r="BN69" i="10"/>
  <c r="BC69" i="10"/>
  <c r="AX69" i="10"/>
  <c r="X73" i="10"/>
  <c r="V79" i="10"/>
  <c r="N85" i="10"/>
  <c r="U4" i="51"/>
  <c r="U10" i="51"/>
  <c r="W42" i="51"/>
  <c r="S46" i="51"/>
  <c r="V59" i="50"/>
  <c r="X14" i="10"/>
  <c r="S55" i="10"/>
  <c r="R85" i="51"/>
  <c r="S85" i="51" s="1"/>
  <c r="X40" i="50"/>
  <c r="W53" i="50"/>
  <c r="X73" i="50"/>
  <c r="X77" i="50"/>
  <c r="R87" i="50"/>
  <c r="N88" i="50"/>
  <c r="AC13" i="10"/>
  <c r="AE15" i="10"/>
  <c r="BM33" i="10"/>
  <c r="AP37" i="10"/>
  <c r="AJ46" i="10"/>
  <c r="AM56" i="10"/>
  <c r="BB67" i="10"/>
  <c r="R69" i="10"/>
  <c r="BA69" i="10"/>
  <c r="S13" i="51"/>
  <c r="V81" i="51"/>
  <c r="P22" i="73"/>
  <c r="P29" i="73"/>
  <c r="P37" i="73"/>
  <c r="P45" i="73"/>
  <c r="P4" i="73"/>
  <c r="C9" i="2"/>
  <c r="B26" i="34"/>
  <c r="B26" i="17"/>
  <c r="B26" i="41"/>
  <c r="B26" i="37"/>
  <c r="B26" i="29"/>
  <c r="C14" i="2"/>
  <c r="C10" i="2"/>
  <c r="B26" i="23"/>
  <c r="C11" i="2"/>
  <c r="B25" i="32" s="1"/>
  <c r="C13" i="2"/>
  <c r="C12" i="2"/>
  <c r="C15" i="2"/>
  <c r="V9" i="50"/>
  <c r="U9" i="50"/>
  <c r="X64" i="50"/>
  <c r="V64" i="50"/>
  <c r="S64" i="50"/>
  <c r="S74" i="50"/>
  <c r="X74" i="50"/>
  <c r="T75" i="50"/>
  <c r="X75" i="50"/>
  <c r="V75" i="50"/>
  <c r="AI23" i="10"/>
  <c r="AR23" i="10"/>
  <c r="X23" i="10"/>
  <c r="BR39" i="10"/>
  <c r="BN39" i="10"/>
  <c r="BU39" i="10"/>
  <c r="AV68" i="10"/>
  <c r="AZ68" i="10"/>
  <c r="AA68" i="10"/>
  <c r="AR68" i="10"/>
  <c r="T68" i="10"/>
  <c r="AK68" i="10"/>
  <c r="V43" i="50"/>
  <c r="T43" i="50"/>
  <c r="S43" i="50"/>
  <c r="BQ2" i="10"/>
  <c r="AA24" i="10"/>
  <c r="BN24" i="10"/>
  <c r="BU24" i="10"/>
  <c r="BB24" i="10"/>
  <c r="AX74" i="10"/>
  <c r="AU74" i="10"/>
  <c r="X74" i="10"/>
  <c r="AN74" i="10"/>
  <c r="S74" i="10"/>
  <c r="AI74" i="10"/>
  <c r="N2" i="50"/>
  <c r="U2" i="50"/>
  <c r="T9" i="50"/>
  <c r="V16" i="50"/>
  <c r="R21" i="50"/>
  <c r="V21" i="50" s="1"/>
  <c r="X22" i="50"/>
  <c r="S22" i="50"/>
  <c r="W43" i="50"/>
  <c r="T50" i="50"/>
  <c r="BC3" i="10"/>
  <c r="AK3" i="10"/>
  <c r="R3" i="10"/>
  <c r="BN3" i="10"/>
  <c r="BA23" i="10"/>
  <c r="BQ39" i="10"/>
  <c r="BN40" i="10"/>
  <c r="AH68" i="10"/>
  <c r="L20" i="10"/>
  <c r="L20" i="51"/>
  <c r="L48" i="51"/>
  <c r="L48" i="10"/>
  <c r="L56" i="10"/>
  <c r="L56" i="51"/>
  <c r="S14" i="50"/>
  <c r="W64" i="50"/>
  <c r="AQ36" i="10"/>
  <c r="W36" i="10"/>
  <c r="B23" i="6"/>
  <c r="B22" i="6"/>
  <c r="J8" i="51"/>
  <c r="J7" i="51"/>
  <c r="J7" i="10"/>
  <c r="J7" i="50"/>
  <c r="B20" i="59"/>
  <c r="M41" i="50"/>
  <c r="X46" i="50"/>
  <c r="S46" i="50"/>
  <c r="BN20" i="10"/>
  <c r="BM20" i="10"/>
  <c r="BR20" i="10"/>
  <c r="BU20" i="10"/>
  <c r="BQ20" i="10"/>
  <c r="L80" i="51"/>
  <c r="L80" i="10"/>
  <c r="V6" i="50"/>
  <c r="S6" i="50"/>
  <c r="X9" i="50"/>
  <c r="U24" i="50"/>
  <c r="S29" i="50"/>
  <c r="R36" i="50"/>
  <c r="X36" i="50" s="1"/>
  <c r="S40" i="50"/>
  <c r="W62" i="50"/>
  <c r="S75" i="50"/>
  <c r="L80" i="50"/>
  <c r="U82" i="50"/>
  <c r="X82" i="50"/>
  <c r="V82" i="50"/>
  <c r="N85" i="50"/>
  <c r="BB3" i="10"/>
  <c r="BO4" i="10"/>
  <c r="BP4" i="10"/>
  <c r="BN4" i="10"/>
  <c r="BP20" i="10"/>
  <c r="AS24" i="10"/>
  <c r="BP38" i="10"/>
  <c r="AM38" i="10"/>
  <c r="S38" i="10"/>
  <c r="BR44" i="10"/>
  <c r="AE44" i="10"/>
  <c r="AE74" i="10"/>
  <c r="B20" i="66"/>
  <c r="B22" i="66" s="1"/>
  <c r="B26" i="40"/>
  <c r="AH75" i="10"/>
  <c r="BQ82" i="10"/>
  <c r="AR82" i="10"/>
  <c r="B22" i="16"/>
  <c r="B18" i="58"/>
  <c r="B17" i="58"/>
  <c r="K21" i="58"/>
  <c r="J21" i="58" s="1"/>
  <c r="J15" i="58" s="1"/>
  <c r="B17" i="44"/>
  <c r="B22" i="45"/>
  <c r="B23" i="45"/>
  <c r="B20" i="72"/>
  <c r="B24" i="72"/>
  <c r="BN33" i="10"/>
  <c r="AX33" i="10"/>
  <c r="BM36" i="10"/>
  <c r="M37" i="10"/>
  <c r="AJ40" i="10"/>
  <c r="BU46" i="10"/>
  <c r="J48" i="10"/>
  <c r="J55" i="10"/>
  <c r="AR55" i="10" s="1"/>
  <c r="W56" i="10"/>
  <c r="BM56" i="10"/>
  <c r="AA59" i="10"/>
  <c r="AD66" i="10"/>
  <c r="BC68" i="10"/>
  <c r="AM69" i="10"/>
  <c r="U69" i="10"/>
  <c r="AL69" i="10"/>
  <c r="BM74" i="10"/>
  <c r="L81" i="10"/>
  <c r="T82" i="10"/>
  <c r="BA82" i="10"/>
  <c r="BO87" i="10"/>
  <c r="I88" i="10"/>
  <c r="N88" i="10" s="1"/>
  <c r="T8" i="51"/>
  <c r="X10" i="51"/>
  <c r="G20" i="51"/>
  <c r="J22" i="51"/>
  <c r="R23" i="51"/>
  <c r="V23" i="51" s="1"/>
  <c r="R25" i="51"/>
  <c r="U25" i="51" s="1"/>
  <c r="W26" i="51"/>
  <c r="I50" i="51"/>
  <c r="G52" i="51"/>
  <c r="J55" i="51"/>
  <c r="M82" i="51"/>
  <c r="M95" i="51" s="1"/>
  <c r="I88" i="51"/>
  <c r="N88" i="51" s="1"/>
  <c r="L14" i="6"/>
  <c r="K14" i="6" s="1"/>
  <c r="N10" i="6" s="1"/>
  <c r="B24" i="6" s="1"/>
  <c r="B20" i="11"/>
  <c r="B24" i="11"/>
  <c r="B26" i="15"/>
  <c r="B26" i="16"/>
  <c r="B19" i="68"/>
  <c r="B19" i="75"/>
  <c r="B19" i="92"/>
  <c r="B24" i="92" s="1"/>
  <c r="B21" i="78"/>
  <c r="B20" i="78"/>
  <c r="B22" i="18"/>
  <c r="B23" i="19"/>
  <c r="B23" i="22"/>
  <c r="L38" i="51" s="1"/>
  <c r="B22" i="22"/>
  <c r="B23" i="23"/>
  <c r="J21" i="66"/>
  <c r="J15" i="66" s="1"/>
  <c r="B24" i="66" s="1"/>
  <c r="B18" i="24"/>
  <c r="B17" i="24"/>
  <c r="B22" i="25"/>
  <c r="B23" i="25"/>
  <c r="B20" i="28"/>
  <c r="B24" i="38"/>
  <c r="B23" i="41"/>
  <c r="B23" i="43"/>
  <c r="B17" i="43"/>
  <c r="B22" i="43"/>
  <c r="B20" i="69"/>
  <c r="J87" i="10" s="1"/>
  <c r="AP87" i="10" s="1"/>
  <c r="B21" i="69"/>
  <c r="C96" i="61"/>
  <c r="L70" i="62"/>
  <c r="O12" i="73"/>
  <c r="P12" i="73"/>
  <c r="BM9" i="10"/>
  <c r="AP21" i="10"/>
  <c r="BR22" i="10"/>
  <c r="BQ23" i="10"/>
  <c r="BC25" i="10"/>
  <c r="AI29" i="10"/>
  <c r="R26" i="50"/>
  <c r="U26" i="50" s="1"/>
  <c r="R33" i="50"/>
  <c r="X33" i="50" s="1"/>
  <c r="N79" i="50"/>
  <c r="N81" i="50"/>
  <c r="N4" i="10"/>
  <c r="BP6" i="10"/>
  <c r="AU6" i="10"/>
  <c r="BQ14" i="10"/>
  <c r="BU15" i="10"/>
  <c r="BQ16" i="10"/>
  <c r="BT19" i="10"/>
  <c r="BT20" i="10"/>
  <c r="BO21" i="10"/>
  <c r="AY21" i="10"/>
  <c r="BT24" i="10"/>
  <c r="AF26" i="10"/>
  <c r="AT37" i="10"/>
  <c r="BA37" i="10"/>
  <c r="AT46" i="10"/>
  <c r="AY46" i="10"/>
  <c r="BU56" i="10"/>
  <c r="AH56" i="10"/>
  <c r="X64" i="10"/>
  <c r="BN65" i="10"/>
  <c r="BR65" i="10"/>
  <c r="BM69" i="10"/>
  <c r="X69" i="10"/>
  <c r="AR69" i="10"/>
  <c r="AD82" i="10"/>
  <c r="X21" i="51"/>
  <c r="U28" i="51"/>
  <c r="X45" i="51"/>
  <c r="W53" i="51"/>
  <c r="X59" i="51"/>
  <c r="V69" i="51"/>
  <c r="V75" i="51"/>
  <c r="B26" i="30"/>
  <c r="B24" i="79"/>
  <c r="B20" i="79"/>
  <c r="B23" i="18"/>
  <c r="I21" i="59"/>
  <c r="J21" i="59" s="1"/>
  <c r="J15" i="59" s="1"/>
  <c r="B24" i="59" s="1"/>
  <c r="B26" i="28"/>
  <c r="B22" i="32"/>
  <c r="B23" i="33"/>
  <c r="B22" i="33"/>
  <c r="B26" i="35"/>
  <c r="B18" i="39"/>
  <c r="B24" i="39"/>
  <c r="B21" i="39"/>
  <c r="B17" i="71"/>
  <c r="B23" i="71" s="1"/>
  <c r="B22" i="71"/>
  <c r="T78" i="50"/>
  <c r="BU4" i="10"/>
  <c r="BR6" i="10"/>
  <c r="R11" i="10"/>
  <c r="BO12" i="10"/>
  <c r="AS13" i="10"/>
  <c r="BN15" i="10"/>
  <c r="BB15" i="10"/>
  <c r="AX20" i="10"/>
  <c r="BT25" i="10"/>
  <c r="AQ26" i="10"/>
  <c r="BQ36" i="10"/>
  <c r="BT36" i="10"/>
  <c r="BJ38" i="10"/>
  <c r="AZ39" i="10"/>
  <c r="U40" i="10"/>
  <c r="N48" i="10"/>
  <c r="N52" i="10"/>
  <c r="AZ59" i="10"/>
  <c r="BM59" i="10"/>
  <c r="S73" i="10"/>
  <c r="AN80" i="10"/>
  <c r="R19" i="51"/>
  <c r="U19" i="51" s="1"/>
  <c r="M27" i="51"/>
  <c r="R27" i="51" s="1"/>
  <c r="X27" i="51" s="1"/>
  <c r="J48" i="51"/>
  <c r="R69" i="51"/>
  <c r="W69" i="51" s="1"/>
  <c r="W87" i="51"/>
  <c r="M25" i="7"/>
  <c r="B23" i="15"/>
  <c r="B22" i="15"/>
  <c r="B23" i="68"/>
  <c r="B23" i="75"/>
  <c r="B23" i="92"/>
  <c r="B26" i="78"/>
  <c r="B26" i="91"/>
  <c r="B23" i="20"/>
  <c r="B22" i="20"/>
  <c r="B22" i="59"/>
  <c r="B16" i="58"/>
  <c r="K21" i="80"/>
  <c r="J21" i="80" s="1"/>
  <c r="J15" i="80" s="1"/>
  <c r="B26" i="32"/>
  <c r="B26" i="43"/>
  <c r="B24" i="83"/>
  <c r="B20" i="83"/>
  <c r="J78" i="10" s="1"/>
  <c r="B16" i="80"/>
  <c r="B23" i="26"/>
  <c r="B22" i="28"/>
  <c r="B23" i="42"/>
  <c r="L62" i="51" s="1"/>
  <c r="B24" i="44"/>
  <c r="B25" i="44" s="1"/>
  <c r="B20" i="44"/>
  <c r="O22" i="73"/>
  <c r="P27" i="73"/>
  <c r="O27" i="73"/>
  <c r="P31" i="73"/>
  <c r="O31" i="73"/>
  <c r="P35" i="73"/>
  <c r="O35" i="73"/>
  <c r="P39" i="73"/>
  <c r="O39" i="73"/>
  <c r="P43" i="73"/>
  <c r="O43" i="73"/>
  <c r="I21" i="24"/>
  <c r="K21" i="24"/>
  <c r="J21" i="24" s="1"/>
  <c r="J15" i="24" s="1"/>
  <c r="B18" i="80"/>
  <c r="B26" i="25"/>
  <c r="B25" i="25"/>
  <c r="B22" i="27"/>
  <c r="B26" i="31"/>
  <c r="B26" i="33"/>
  <c r="B22" i="37"/>
  <c r="B17" i="70"/>
  <c r="B23" i="70" s="1"/>
  <c r="C13" i="63"/>
  <c r="B20" i="29"/>
  <c r="B22" i="29" s="1"/>
  <c r="B20" i="38"/>
  <c r="B20" i="40"/>
  <c r="L9" i="63"/>
  <c r="L11" i="63"/>
  <c r="P6" i="73"/>
  <c r="P9" i="73"/>
  <c r="P13" i="73"/>
  <c r="P23" i="73"/>
  <c r="P11" i="73"/>
  <c r="O11" i="73"/>
  <c r="P15" i="73"/>
  <c r="O15" i="73"/>
  <c r="O24" i="73"/>
  <c r="P24" i="73"/>
  <c r="O28" i="73"/>
  <c r="P28" i="73"/>
  <c r="O32" i="73"/>
  <c r="P32" i="73"/>
  <c r="O36" i="73"/>
  <c r="P36" i="73"/>
  <c r="O40" i="73"/>
  <c r="P40" i="73"/>
  <c r="O44" i="73"/>
  <c r="P44" i="73"/>
  <c r="L8" i="63"/>
  <c r="L13" i="63" s="1"/>
  <c r="P5" i="73"/>
  <c r="O8" i="73"/>
  <c r="O10" i="73"/>
  <c r="P14" i="73"/>
  <c r="P17" i="73"/>
  <c r="O20" i="73"/>
  <c r="O26" i="73"/>
  <c r="O34" i="73"/>
  <c r="O37" i="73"/>
  <c r="O42" i="73"/>
  <c r="O4" i="73"/>
  <c r="P7" i="73"/>
  <c r="O14" i="73"/>
  <c r="P19" i="73"/>
  <c r="P21" i="73"/>
  <c r="P26" i="73"/>
  <c r="O30" i="73"/>
  <c r="P34" i="73"/>
  <c r="O38" i="73"/>
  <c r="O41" i="73"/>
  <c r="P42" i="73"/>
  <c r="L10" i="10"/>
  <c r="L73" i="50"/>
  <c r="L73" i="10"/>
  <c r="L65" i="51"/>
  <c r="U12" i="50"/>
  <c r="W39" i="50"/>
  <c r="W4" i="50"/>
  <c r="S8" i="50"/>
  <c r="W12" i="50"/>
  <c r="W22" i="50"/>
  <c r="W25" i="50"/>
  <c r="U28" i="50"/>
  <c r="V28" i="50"/>
  <c r="V29" i="50"/>
  <c r="T34" i="50"/>
  <c r="S37" i="50"/>
  <c r="S39" i="50"/>
  <c r="T45" i="50"/>
  <c r="S49" i="50"/>
  <c r="W57" i="50"/>
  <c r="S60" i="50"/>
  <c r="X60" i="50"/>
  <c r="S66" i="50"/>
  <c r="S69" i="50"/>
  <c r="T79" i="50"/>
  <c r="V79" i="50"/>
  <c r="S79" i="50"/>
  <c r="S81" i="50"/>
  <c r="W85" i="50"/>
  <c r="X85" i="50"/>
  <c r="V85" i="50"/>
  <c r="N2" i="10"/>
  <c r="AN20" i="10"/>
  <c r="BT29" i="10"/>
  <c r="BC34" i="10"/>
  <c r="BU34" i="10"/>
  <c r="AL34" i="10"/>
  <c r="BN34" i="10"/>
  <c r="BP36" i="10"/>
  <c r="BP48" i="10"/>
  <c r="BU48" i="10"/>
  <c r="AV87" i="10"/>
  <c r="T87" i="10"/>
  <c r="AJ87" i="10"/>
  <c r="BQ89" i="10"/>
  <c r="AY89" i="10"/>
  <c r="AF89" i="10"/>
  <c r="BO89" i="10"/>
  <c r="AP89" i="10"/>
  <c r="V89" i="10"/>
  <c r="AT89" i="10"/>
  <c r="AB89" i="10"/>
  <c r="BC89" i="10"/>
  <c r="T3" i="51"/>
  <c r="X3" i="51"/>
  <c r="X7" i="51"/>
  <c r="W12" i="51"/>
  <c r="V12" i="51"/>
  <c r="X12" i="51"/>
  <c r="X20" i="51"/>
  <c r="V20" i="51"/>
  <c r="W20" i="51"/>
  <c r="W48" i="51"/>
  <c r="X48" i="51"/>
  <c r="T48" i="51"/>
  <c r="V48" i="51"/>
  <c r="S4" i="50"/>
  <c r="R6" i="50"/>
  <c r="W6" i="50"/>
  <c r="V8" i="50"/>
  <c r="W9" i="50"/>
  <c r="S11" i="50"/>
  <c r="S12" i="50"/>
  <c r="R19" i="50"/>
  <c r="U19" i="50" s="1"/>
  <c r="R20" i="50"/>
  <c r="U20" i="50" s="1"/>
  <c r="S24" i="50"/>
  <c r="W29" i="50"/>
  <c r="W34" i="50"/>
  <c r="R37" i="50"/>
  <c r="X37" i="50" s="1"/>
  <c r="U37" i="50"/>
  <c r="U39" i="50"/>
  <c r="T41" i="50"/>
  <c r="X43" i="50"/>
  <c r="V45" i="50"/>
  <c r="U46" i="50"/>
  <c r="X49" i="50"/>
  <c r="S52" i="50"/>
  <c r="T59" i="50"/>
  <c r="T62" i="50"/>
  <c r="U64" i="50"/>
  <c r="X67" i="50"/>
  <c r="V67" i="50"/>
  <c r="R69" i="50"/>
  <c r="W69" i="50" s="1"/>
  <c r="W77" i="50"/>
  <c r="V77" i="50"/>
  <c r="N78" i="50"/>
  <c r="X79" i="50"/>
  <c r="BR2" i="10"/>
  <c r="BU6" i="10"/>
  <c r="AN6" i="10"/>
  <c r="AN7" i="10"/>
  <c r="BB7" i="10"/>
  <c r="AE7" i="10"/>
  <c r="AX7" i="10"/>
  <c r="BR24" i="10"/>
  <c r="BM24" i="10"/>
  <c r="AN24" i="10"/>
  <c r="U24" i="10"/>
  <c r="BP24" i="10"/>
  <c r="AX24" i="10"/>
  <c r="AE24" i="10"/>
  <c r="AJ24" i="10"/>
  <c r="BQ24" i="10"/>
  <c r="X25" i="10"/>
  <c r="BU26" i="10"/>
  <c r="AL26" i="10"/>
  <c r="T34" i="10"/>
  <c r="R37" i="10"/>
  <c r="BA53" i="10"/>
  <c r="AL55" i="10"/>
  <c r="BR68" i="10"/>
  <c r="BM68" i="10"/>
  <c r="AI84" i="10"/>
  <c r="AV84" i="10"/>
  <c r="T84" i="10"/>
  <c r="AD84" i="10"/>
  <c r="BA84" i="10"/>
  <c r="AB87" i="10"/>
  <c r="X6" i="51"/>
  <c r="U6" i="51"/>
  <c r="W6" i="51"/>
  <c r="V6" i="51"/>
  <c r="V25" i="51"/>
  <c r="X25" i="51"/>
  <c r="T25" i="51"/>
  <c r="V58" i="51"/>
  <c r="U58" i="51"/>
  <c r="W58" i="51"/>
  <c r="U85" i="51"/>
  <c r="V85" i="51"/>
  <c r="X85" i="51"/>
  <c r="U4" i="50"/>
  <c r="X8" i="50"/>
  <c r="S28" i="50"/>
  <c r="V37" i="50"/>
  <c r="U57" i="50"/>
  <c r="V60" i="50"/>
  <c r="U66" i="50"/>
  <c r="T66" i="50"/>
  <c r="X66" i="50"/>
  <c r="U69" i="50"/>
  <c r="X69" i="50"/>
  <c r="V69" i="50"/>
  <c r="T81" i="50"/>
  <c r="X81" i="50"/>
  <c r="W81" i="50"/>
  <c r="BB20" i="10"/>
  <c r="AJ20" i="10"/>
  <c r="U20" i="10"/>
  <c r="BQ29" i="10"/>
  <c r="X29" i="10"/>
  <c r="AR29" i="10"/>
  <c r="BA29" i="10"/>
  <c r="BD34" i="10"/>
  <c r="AT34" i="10"/>
  <c r="AI34" i="10"/>
  <c r="W34" i="10"/>
  <c r="AY34" i="10"/>
  <c r="AN34" i="10"/>
  <c r="AD34" i="10"/>
  <c r="R34" i="10"/>
  <c r="AA34" i="10"/>
  <c r="AV34" i="10"/>
  <c r="AI57" i="10"/>
  <c r="BR74" i="10"/>
  <c r="AQ79" i="10"/>
  <c r="BR79" i="10"/>
  <c r="AL79" i="10"/>
  <c r="AZ79" i="10"/>
  <c r="U37" i="51"/>
  <c r="W37" i="51"/>
  <c r="U64" i="51"/>
  <c r="T64" i="51"/>
  <c r="X64" i="51"/>
  <c r="V64" i="51"/>
  <c r="V4" i="50"/>
  <c r="R5" i="50"/>
  <c r="X7" i="50"/>
  <c r="W11" i="50"/>
  <c r="V12" i="50"/>
  <c r="W14" i="50"/>
  <c r="R22" i="50"/>
  <c r="V22" i="50" s="1"/>
  <c r="U22" i="50"/>
  <c r="R23" i="50"/>
  <c r="V23" i="50" s="1"/>
  <c r="R24" i="50"/>
  <c r="W24" i="50"/>
  <c r="S25" i="50"/>
  <c r="T28" i="50"/>
  <c r="R29" i="50"/>
  <c r="X29" i="50" s="1"/>
  <c r="V36" i="50"/>
  <c r="X44" i="50"/>
  <c r="W50" i="50"/>
  <c r="W55" i="50"/>
  <c r="V57" i="50"/>
  <c r="X59" i="50"/>
  <c r="W60" i="50"/>
  <c r="V74" i="50"/>
  <c r="U74" i="50"/>
  <c r="N80" i="50"/>
  <c r="W84" i="50"/>
  <c r="V84" i="50"/>
  <c r="S84" i="50"/>
  <c r="U85" i="50"/>
  <c r="X87" i="50"/>
  <c r="W87" i="50"/>
  <c r="V87" i="50"/>
  <c r="BN6" i="10"/>
  <c r="AX6" i="10"/>
  <c r="AL6" i="10"/>
  <c r="X6" i="10"/>
  <c r="BQ6" i="10"/>
  <c r="BD6" i="10"/>
  <c r="AR6" i="10"/>
  <c r="AE6" i="10"/>
  <c r="S6" i="10"/>
  <c r="AC6" i="10"/>
  <c r="BA6" i="10"/>
  <c r="AR19" i="10"/>
  <c r="BQ19" i="10"/>
  <c r="X19" i="10"/>
  <c r="BA19" i="10"/>
  <c r="AE20" i="10"/>
  <c r="AJ25" i="10"/>
  <c r="BP26" i="10"/>
  <c r="AZ26" i="10"/>
  <c r="AN26" i="10"/>
  <c r="AD26" i="10"/>
  <c r="S26" i="10"/>
  <c r="BD26" i="10"/>
  <c r="AU26" i="10"/>
  <c r="AI26" i="10"/>
  <c r="W26" i="10"/>
  <c r="AA26" i="10"/>
  <c r="AX26" i="10"/>
  <c r="AF34" i="10"/>
  <c r="BB34" i="10"/>
  <c r="BN36" i="10"/>
  <c r="AY37" i="10"/>
  <c r="AK37" i="10"/>
  <c r="V37" i="10"/>
  <c r="BC37" i="10"/>
  <c r="AR37" i="10"/>
  <c r="AF37" i="10"/>
  <c r="AI37" i="10"/>
  <c r="AN40" i="10"/>
  <c r="BB40" i="10"/>
  <c r="AE40" i="10"/>
  <c r="AX40" i="10"/>
  <c r="BM44" i="10"/>
  <c r="BO48" i="10"/>
  <c r="BQ48" i="10"/>
  <c r="BN56" i="10"/>
  <c r="U80" i="10"/>
  <c r="BR85" i="10"/>
  <c r="BN85" i="10"/>
  <c r="BP85" i="10"/>
  <c r="BC87" i="10"/>
  <c r="AK89" i="10"/>
  <c r="W15" i="51"/>
  <c r="V15" i="51"/>
  <c r="V49" i="51"/>
  <c r="W49" i="51"/>
  <c r="X65" i="51"/>
  <c r="V65" i="51"/>
  <c r="W80" i="51"/>
  <c r="V80" i="51"/>
  <c r="X80" i="51"/>
  <c r="U75" i="50"/>
  <c r="N77" i="50"/>
  <c r="S78" i="50"/>
  <c r="X80" i="50"/>
  <c r="BT2" i="10"/>
  <c r="BU2" i="10"/>
  <c r="BM2" i="10"/>
  <c r="BO3" i="10"/>
  <c r="BT3" i="10"/>
  <c r="AR3" i="10"/>
  <c r="BQ3" i="10"/>
  <c r="BP5" i="10"/>
  <c r="AZ6" i="10"/>
  <c r="BD8" i="10"/>
  <c r="AS9" i="10"/>
  <c r="N11" i="10"/>
  <c r="U15" i="10"/>
  <c r="AX15" i="10"/>
  <c r="AA20" i="10"/>
  <c r="AS20" i="10"/>
  <c r="R21" i="10"/>
  <c r="AK21" i="10"/>
  <c r="BC21" i="10"/>
  <c r="BQ22" i="10"/>
  <c r="BP22" i="10"/>
  <c r="BQ33" i="10"/>
  <c r="BT33" i="10"/>
  <c r="BU33" i="10"/>
  <c r="AJ33" i="10"/>
  <c r="BB33" i="10"/>
  <c r="BR33" i="10"/>
  <c r="BP34" i="10"/>
  <c r="BU36" i="10"/>
  <c r="AZ36" i="10"/>
  <c r="BR36" i="10"/>
  <c r="BQ37" i="10"/>
  <c r="BO38" i="10"/>
  <c r="BU38" i="10"/>
  <c r="AX38" i="10"/>
  <c r="BT39" i="10"/>
  <c r="BP39" i="10"/>
  <c r="BR41" i="10"/>
  <c r="AJ48" i="10"/>
  <c r="N56" i="10"/>
  <c r="BT56" i="10"/>
  <c r="AA56" i="10"/>
  <c r="AS56" i="10"/>
  <c r="N59" i="10"/>
  <c r="BU59" i="10"/>
  <c r="BT65" i="10"/>
  <c r="AX67" i="10"/>
  <c r="AC67" i="10"/>
  <c r="AK67" i="10"/>
  <c r="AU67" i="10"/>
  <c r="T19" i="51"/>
  <c r="S29" i="51"/>
  <c r="R33" i="51"/>
  <c r="X33" i="51" s="1"/>
  <c r="X34" i="51"/>
  <c r="V34" i="51"/>
  <c r="T34" i="51"/>
  <c r="R36" i="51"/>
  <c r="X36" i="51" s="1"/>
  <c r="BP2" i="10"/>
  <c r="BH2" i="10"/>
  <c r="BO2" i="10"/>
  <c r="W3" i="10"/>
  <c r="AJ15" i="10"/>
  <c r="AB21" i="10"/>
  <c r="BN26" i="10"/>
  <c r="AA33" i="10"/>
  <c r="AS33" i="10"/>
  <c r="AH36" i="10"/>
  <c r="AC38" i="10"/>
  <c r="BM39" i="10"/>
  <c r="N49" i="10"/>
  <c r="BQ56" i="10"/>
  <c r="T56" i="10"/>
  <c r="AJ56" i="10"/>
  <c r="AZ56" i="10"/>
  <c r="BR56" i="10"/>
  <c r="BQ59" i="10"/>
  <c r="BB59" i="10"/>
  <c r="AM59" i="10"/>
  <c r="W59" i="10"/>
  <c r="BP59" i="10"/>
  <c r="AV59" i="10"/>
  <c r="AD59" i="10"/>
  <c r="AJ59" i="10"/>
  <c r="BR59" i="10"/>
  <c r="BQ65" i="10"/>
  <c r="BP65" i="10"/>
  <c r="AV65" i="10"/>
  <c r="BU65" i="10"/>
  <c r="BM65" i="10"/>
  <c r="AD65" i="10"/>
  <c r="AJ65" i="10"/>
  <c r="BM82" i="10"/>
  <c r="BA88" i="10"/>
  <c r="V42" i="51"/>
  <c r="U55" i="51"/>
  <c r="V55" i="51"/>
  <c r="V78" i="51"/>
  <c r="W78" i="51"/>
  <c r="T78" i="51"/>
  <c r="X82" i="51"/>
  <c r="W82" i="51"/>
  <c r="S82" i="51"/>
  <c r="BM60" i="10"/>
  <c r="BP67" i="10"/>
  <c r="BU68" i="10"/>
  <c r="AB68" i="10"/>
  <c r="AQ68" i="10"/>
  <c r="BB68" i="10"/>
  <c r="V69" i="10"/>
  <c r="AF69" i="10"/>
  <c r="AQ69" i="10"/>
  <c r="AZ69" i="10"/>
  <c r="N73" i="10"/>
  <c r="U74" i="10"/>
  <c r="AH74" i="10"/>
  <c r="AR74" i="10"/>
  <c r="BD74" i="10"/>
  <c r="AD78" i="10"/>
  <c r="N81" i="10"/>
  <c r="BT82" i="10"/>
  <c r="AH82" i="10"/>
  <c r="AZ82" i="10"/>
  <c r="AU85" i="10"/>
  <c r="X87" i="10"/>
  <c r="AL87" i="10"/>
  <c r="AY87" i="10"/>
  <c r="S4" i="51"/>
  <c r="W8" i="51"/>
  <c r="S10" i="51"/>
  <c r="W13" i="51"/>
  <c r="W22" i="51"/>
  <c r="R24" i="51"/>
  <c r="W24" i="51"/>
  <c r="S26" i="51"/>
  <c r="R38" i="51"/>
  <c r="X38" i="51" s="1"/>
  <c r="X41" i="51"/>
  <c r="W44" i="51"/>
  <c r="T56" i="51"/>
  <c r="U60" i="51"/>
  <c r="R78" i="51"/>
  <c r="U78" i="51" s="1"/>
  <c r="X81" i="51"/>
  <c r="U87" i="51"/>
  <c r="BT60" i="10"/>
  <c r="AX64" i="10"/>
  <c r="BU67" i="10"/>
  <c r="V68" i="10"/>
  <c r="AJ68" i="10"/>
  <c r="AK69" i="10"/>
  <c r="AT69" i="10"/>
  <c r="AR73" i="10"/>
  <c r="BT74" i="10"/>
  <c r="AA74" i="10"/>
  <c r="AM74" i="10"/>
  <c r="AT81" i="10"/>
  <c r="X82" i="10"/>
  <c r="AQ82" i="10"/>
  <c r="BM84" i="10"/>
  <c r="BU87" i="10"/>
  <c r="AD87" i="10"/>
  <c r="AT87" i="10"/>
  <c r="W4" i="51"/>
  <c r="R6" i="51"/>
  <c r="S8" i="51"/>
  <c r="W10" i="51"/>
  <c r="U13" i="51"/>
  <c r="R20" i="51"/>
  <c r="U20" i="51" s="1"/>
  <c r="S24" i="51"/>
  <c r="T40" i="51"/>
  <c r="S44" i="51"/>
  <c r="U53" i="51"/>
  <c r="T69" i="51"/>
  <c r="T75" i="51"/>
  <c r="T81" i="51"/>
  <c r="X19" i="50"/>
  <c r="W19" i="50"/>
  <c r="S19" i="50"/>
  <c r="V19" i="50"/>
  <c r="U15" i="50"/>
  <c r="W15" i="50"/>
  <c r="S15" i="50"/>
  <c r="V15" i="50"/>
  <c r="U5" i="50"/>
  <c r="W5" i="50"/>
  <c r="S5" i="50"/>
  <c r="V5" i="50"/>
  <c r="V13" i="50"/>
  <c r="X13" i="50"/>
  <c r="T13" i="50"/>
  <c r="W13" i="50"/>
  <c r="S13" i="50"/>
  <c r="T19" i="50"/>
  <c r="S2" i="50"/>
  <c r="W2" i="50"/>
  <c r="T3" i="50"/>
  <c r="X3" i="50"/>
  <c r="V7" i="50"/>
  <c r="V10" i="50"/>
  <c r="U14" i="50"/>
  <c r="T16" i="50"/>
  <c r="T21" i="50"/>
  <c r="X21" i="50"/>
  <c r="T26" i="50"/>
  <c r="X26" i="50"/>
  <c r="V33" i="50"/>
  <c r="T36" i="50"/>
  <c r="V38" i="50"/>
  <c r="V40" i="50"/>
  <c r="S42" i="50"/>
  <c r="X42" i="50"/>
  <c r="V44" i="50"/>
  <c r="W48" i="50"/>
  <c r="V49" i="50"/>
  <c r="V51" i="50"/>
  <c r="V52" i="50"/>
  <c r="W54" i="50"/>
  <c r="U55" i="50"/>
  <c r="S56" i="50"/>
  <c r="X56" i="50"/>
  <c r="V58" i="50"/>
  <c r="T63" i="50"/>
  <c r="X63" i="50"/>
  <c r="S65" i="50"/>
  <c r="X65" i="50"/>
  <c r="T67" i="50"/>
  <c r="S68" i="50"/>
  <c r="X68" i="50"/>
  <c r="U73" i="50"/>
  <c r="X88" i="50"/>
  <c r="S88" i="50"/>
  <c r="T2" i="10"/>
  <c r="Z2" i="10"/>
  <c r="AF2" i="10"/>
  <c r="AL2" i="10"/>
  <c r="AR2" i="10"/>
  <c r="AY2" i="10"/>
  <c r="BD2" i="10"/>
  <c r="T3" i="10"/>
  <c r="AI3" i="10"/>
  <c r="AN3" i="10"/>
  <c r="AT3" i="10"/>
  <c r="BA3" i="10"/>
  <c r="U4" i="10"/>
  <c r="AB4" i="10"/>
  <c r="AH4" i="10"/>
  <c r="AN4" i="10"/>
  <c r="AT4" i="10"/>
  <c r="AZ4" i="10"/>
  <c r="BT5" i="10"/>
  <c r="V5" i="10"/>
  <c r="AC5" i="10"/>
  <c r="AI5" i="10"/>
  <c r="AP5" i="10"/>
  <c r="AU5" i="10"/>
  <c r="BA5" i="10"/>
  <c r="BO5" i="10"/>
  <c r="BT8" i="10"/>
  <c r="AC8" i="10"/>
  <c r="AN8" i="10"/>
  <c r="BA8" i="10"/>
  <c r="BP11" i="10"/>
  <c r="AK11" i="10"/>
  <c r="AX11" i="10"/>
  <c r="W11" i="10"/>
  <c r="AQ11" i="10"/>
  <c r="AP12" i="10"/>
  <c r="BQ13" i="10"/>
  <c r="BP13" i="10"/>
  <c r="AZ13" i="10"/>
  <c r="AQ13" i="10"/>
  <c r="AH13" i="10"/>
  <c r="AA13" i="10"/>
  <c r="T13" i="10"/>
  <c r="BD13" i="10"/>
  <c r="AU13" i="10"/>
  <c r="AL13" i="10"/>
  <c r="AD13" i="10"/>
  <c r="W13" i="10"/>
  <c r="BU13" i="10"/>
  <c r="U13" i="10"/>
  <c r="AJ13" i="10"/>
  <c r="BB13" i="10"/>
  <c r="N14" i="10"/>
  <c r="BT16" i="10"/>
  <c r="BA16" i="10"/>
  <c r="BF19" i="10"/>
  <c r="BJ19" i="10"/>
  <c r="BG19" i="10"/>
  <c r="BK19" i="10"/>
  <c r="BH19" i="10"/>
  <c r="Z19" i="10"/>
  <c r="BI19" i="10"/>
  <c r="BP19" i="10"/>
  <c r="BD19" i="10"/>
  <c r="AZ19" i="10"/>
  <c r="AU19" i="10"/>
  <c r="AQ19" i="10"/>
  <c r="AL19" i="10"/>
  <c r="AH19" i="10"/>
  <c r="AC19" i="10"/>
  <c r="W19" i="10"/>
  <c r="S19" i="10"/>
  <c r="BR19" i="10"/>
  <c r="BN19" i="10"/>
  <c r="BB19" i="10"/>
  <c r="AX19" i="10"/>
  <c r="AS19" i="10"/>
  <c r="AN19" i="10"/>
  <c r="AJ19" i="10"/>
  <c r="AE19" i="10"/>
  <c r="AA19" i="10"/>
  <c r="U19" i="10"/>
  <c r="BU19" i="10"/>
  <c r="T19" i="10"/>
  <c r="AD19" i="10"/>
  <c r="AM19" i="10"/>
  <c r="AV19" i="10"/>
  <c r="BM19" i="10"/>
  <c r="W22" i="10"/>
  <c r="AH22" i="10"/>
  <c r="AQ22" i="10"/>
  <c r="AZ22" i="10"/>
  <c r="BF23" i="10"/>
  <c r="BJ23" i="10"/>
  <c r="BG23" i="10"/>
  <c r="BK23" i="10"/>
  <c r="BH23" i="10"/>
  <c r="Z23" i="10"/>
  <c r="BI23" i="10"/>
  <c r="BP23" i="10"/>
  <c r="BD23" i="10"/>
  <c r="AZ23" i="10"/>
  <c r="AU23" i="10"/>
  <c r="AQ23" i="10"/>
  <c r="AL23" i="10"/>
  <c r="AH23" i="10"/>
  <c r="AC23" i="10"/>
  <c r="W23" i="10"/>
  <c r="S23" i="10"/>
  <c r="BR23" i="10"/>
  <c r="BN23" i="10"/>
  <c r="BB23" i="10"/>
  <c r="AX23" i="10"/>
  <c r="AS23" i="10"/>
  <c r="AN23" i="10"/>
  <c r="AJ23" i="10"/>
  <c r="AE23" i="10"/>
  <c r="AA23" i="10"/>
  <c r="U23" i="10"/>
  <c r="BU23" i="10"/>
  <c r="T23" i="10"/>
  <c r="AD23" i="10"/>
  <c r="AM23" i="10"/>
  <c r="AV23" i="10"/>
  <c r="BM23" i="10"/>
  <c r="BO25" i="10"/>
  <c r="BF25" i="10"/>
  <c r="BK25" i="10"/>
  <c r="Z25" i="10"/>
  <c r="BG25" i="10"/>
  <c r="BI25" i="10"/>
  <c r="BJ25" i="10"/>
  <c r="BN25" i="10"/>
  <c r="BB25" i="10"/>
  <c r="AX25" i="10"/>
  <c r="AS25" i="10"/>
  <c r="AN25" i="10"/>
  <c r="AI25" i="10"/>
  <c r="AD25" i="10"/>
  <c r="W25" i="10"/>
  <c r="S25" i="10"/>
  <c r="BQ25" i="10"/>
  <c r="BD25" i="10"/>
  <c r="AZ25" i="10"/>
  <c r="AU25" i="10"/>
  <c r="AQ25" i="10"/>
  <c r="AL25" i="10"/>
  <c r="AF25" i="10"/>
  <c r="AA25" i="10"/>
  <c r="U25" i="10"/>
  <c r="BU25" i="10"/>
  <c r="T25" i="10"/>
  <c r="AE25" i="10"/>
  <c r="AP25" i="10"/>
  <c r="AY25" i="10"/>
  <c r="BP25" i="10"/>
  <c r="Z29" i="10"/>
  <c r="BH29" i="10"/>
  <c r="BI29" i="10"/>
  <c r="BF29" i="10"/>
  <c r="BJ29" i="10"/>
  <c r="BG29" i="10"/>
  <c r="BK29" i="10"/>
  <c r="BP29" i="10"/>
  <c r="BD29" i="10"/>
  <c r="AZ29" i="10"/>
  <c r="AU29" i="10"/>
  <c r="AQ29" i="10"/>
  <c r="AL29" i="10"/>
  <c r="AH29" i="10"/>
  <c r="AC29" i="10"/>
  <c r="W29" i="10"/>
  <c r="S29" i="10"/>
  <c r="BR29" i="10"/>
  <c r="BN29" i="10"/>
  <c r="BB29" i="10"/>
  <c r="AX29" i="10"/>
  <c r="AS29" i="10"/>
  <c r="AN29" i="10"/>
  <c r="AJ29" i="10"/>
  <c r="AE29" i="10"/>
  <c r="AA29" i="10"/>
  <c r="U29" i="10"/>
  <c r="BU29" i="10"/>
  <c r="T29" i="10"/>
  <c r="AD29" i="10"/>
  <c r="AM29" i="10"/>
  <c r="AV29" i="10"/>
  <c r="BM29" i="10"/>
  <c r="BA36" i="10"/>
  <c r="AV36" i="10"/>
  <c r="AR36" i="10"/>
  <c r="AM36" i="10"/>
  <c r="AI36" i="10"/>
  <c r="AD36" i="10"/>
  <c r="X36" i="10"/>
  <c r="T36" i="10"/>
  <c r="S36" i="10"/>
  <c r="AC36" i="10"/>
  <c r="AL36" i="10"/>
  <c r="AU36" i="10"/>
  <c r="BD36" i="10"/>
  <c r="BO37" i="10"/>
  <c r="BC38" i="10"/>
  <c r="AY38" i="10"/>
  <c r="AT38" i="10"/>
  <c r="AP38" i="10"/>
  <c r="AJ38" i="10"/>
  <c r="AD38" i="10"/>
  <c r="T38" i="10"/>
  <c r="W38" i="10"/>
  <c r="AI38" i="10"/>
  <c r="AS38" i="10"/>
  <c r="BB38" i="10"/>
  <c r="U39" i="10"/>
  <c r="AE39" i="10"/>
  <c r="AN39" i="10"/>
  <c r="AX39" i="10"/>
  <c r="BB41" i="10"/>
  <c r="BO42" i="10"/>
  <c r="AK42" i="10"/>
  <c r="AP42" i="10"/>
  <c r="BC42" i="10"/>
  <c r="V42" i="10"/>
  <c r="AY42" i="10"/>
  <c r="BB44" i="10"/>
  <c r="AN44" i="10"/>
  <c r="AD44" i="10"/>
  <c r="T44" i="10"/>
  <c r="AS44" i="10"/>
  <c r="AE48" i="10"/>
  <c r="BC48" i="10"/>
  <c r="BA49" i="10"/>
  <c r="BU49" i="10"/>
  <c r="AH49" i="10"/>
  <c r="AV49" i="10"/>
  <c r="N53" i="10"/>
  <c r="BH57" i="10"/>
  <c r="BI57" i="10"/>
  <c r="BF57" i="10"/>
  <c r="BJ57" i="10"/>
  <c r="Z57" i="10"/>
  <c r="BG57" i="10"/>
  <c r="BK57" i="10"/>
  <c r="BP57" i="10"/>
  <c r="BD57" i="10"/>
  <c r="AZ57" i="10"/>
  <c r="AU57" i="10"/>
  <c r="AQ57" i="10"/>
  <c r="AL57" i="10"/>
  <c r="AH57" i="10"/>
  <c r="AC57" i="10"/>
  <c r="W57" i="10"/>
  <c r="S57" i="10"/>
  <c r="BR57" i="10"/>
  <c r="BN57" i="10"/>
  <c r="BB57" i="10"/>
  <c r="AX57" i="10"/>
  <c r="AS57" i="10"/>
  <c r="AN57" i="10"/>
  <c r="AJ57" i="10"/>
  <c r="AE57" i="10"/>
  <c r="AA57" i="10"/>
  <c r="U57" i="10"/>
  <c r="BU57" i="10"/>
  <c r="BC57" i="10"/>
  <c r="AT57" i="10"/>
  <c r="AK57" i="10"/>
  <c r="AB57" i="10"/>
  <c r="R57" i="10"/>
  <c r="BO57" i="10"/>
  <c r="AY57" i="10"/>
  <c r="AP57" i="10"/>
  <c r="AF57" i="10"/>
  <c r="V57" i="10"/>
  <c r="X57" i="10"/>
  <c r="AR57" i="10"/>
  <c r="BQ57" i="10"/>
  <c r="BT58" i="10"/>
  <c r="AI58" i="10"/>
  <c r="BA58" i="10"/>
  <c r="AV60" i="10"/>
  <c r="BM62" i="10"/>
  <c r="AV62" i="10"/>
  <c r="AM62" i="10"/>
  <c r="AE62" i="10"/>
  <c r="S62" i="10"/>
  <c r="BQ62" i="10"/>
  <c r="BA62" i="10"/>
  <c r="AR62" i="10"/>
  <c r="AH62" i="10"/>
  <c r="X62" i="10"/>
  <c r="AZ62" i="10"/>
  <c r="AF62" i="10"/>
  <c r="BN62" i="10"/>
  <c r="AP62" i="10"/>
  <c r="V62" i="10"/>
  <c r="AL62" i="10"/>
  <c r="AJ77" i="10"/>
  <c r="AT77" i="10"/>
  <c r="R77" i="10"/>
  <c r="T77" i="10"/>
  <c r="BC77" i="10"/>
  <c r="N80" i="10"/>
  <c r="S81" i="10"/>
  <c r="AL85" i="10"/>
  <c r="BG88" i="10"/>
  <c r="BK88" i="10"/>
  <c r="BH88" i="10"/>
  <c r="Z88" i="10"/>
  <c r="BI88" i="10"/>
  <c r="BF88" i="10"/>
  <c r="BJ88" i="10"/>
  <c r="BR88" i="10"/>
  <c r="BN88" i="10"/>
  <c r="BB88" i="10"/>
  <c r="AX88" i="10"/>
  <c r="AS88" i="10"/>
  <c r="AN88" i="10"/>
  <c r="AJ88" i="10"/>
  <c r="AE88" i="10"/>
  <c r="AA88" i="10"/>
  <c r="U88" i="10"/>
  <c r="BU88" i="10"/>
  <c r="BP88" i="10"/>
  <c r="BD88" i="10"/>
  <c r="AZ88" i="10"/>
  <c r="AU88" i="10"/>
  <c r="AQ88" i="10"/>
  <c r="AL88" i="10"/>
  <c r="AH88" i="10"/>
  <c r="AC88" i="10"/>
  <c r="W88" i="10"/>
  <c r="S88" i="10"/>
  <c r="BC88" i="10"/>
  <c r="AT88" i="10"/>
  <c r="AK88" i="10"/>
  <c r="AB88" i="10"/>
  <c r="R88" i="10"/>
  <c r="BO88" i="10"/>
  <c r="AY88" i="10"/>
  <c r="AP88" i="10"/>
  <c r="AF88" i="10"/>
  <c r="V88" i="10"/>
  <c r="BM88" i="10"/>
  <c r="AM88" i="10"/>
  <c r="T88" i="10"/>
  <c r="AV88" i="10"/>
  <c r="AD88" i="10"/>
  <c r="AI88" i="10"/>
  <c r="U84" i="51"/>
  <c r="W84" i="51"/>
  <c r="T84" i="51"/>
  <c r="X84" i="51"/>
  <c r="V84" i="51"/>
  <c r="T2" i="50"/>
  <c r="X2" i="50"/>
  <c r="U3" i="50"/>
  <c r="T6" i="50"/>
  <c r="X6" i="50"/>
  <c r="W7" i="50"/>
  <c r="T8" i="50"/>
  <c r="W10" i="50"/>
  <c r="T11" i="50"/>
  <c r="V14" i="50"/>
  <c r="U16" i="50"/>
  <c r="T20" i="50"/>
  <c r="X20" i="50"/>
  <c r="U21" i="50"/>
  <c r="S23" i="50"/>
  <c r="W23" i="50"/>
  <c r="T24" i="50"/>
  <c r="X24" i="50"/>
  <c r="V25" i="50"/>
  <c r="S33" i="50"/>
  <c r="W33" i="50"/>
  <c r="S34" i="50"/>
  <c r="X34" i="50"/>
  <c r="U36" i="50"/>
  <c r="S38" i="50"/>
  <c r="W38" i="50"/>
  <c r="T39" i="50"/>
  <c r="W40" i="50"/>
  <c r="V41" i="50"/>
  <c r="T42" i="50"/>
  <c r="W44" i="50"/>
  <c r="U45" i="50"/>
  <c r="S48" i="50"/>
  <c r="X48" i="50"/>
  <c r="W49" i="50"/>
  <c r="V50" i="50"/>
  <c r="S51" i="50"/>
  <c r="W51" i="50"/>
  <c r="W52" i="50"/>
  <c r="V53" i="50"/>
  <c r="S54" i="50"/>
  <c r="X54" i="50"/>
  <c r="V55" i="50"/>
  <c r="T56" i="50"/>
  <c r="W58" i="50"/>
  <c r="U59" i="50"/>
  <c r="V62" i="50"/>
  <c r="U63" i="50"/>
  <c r="T65" i="50"/>
  <c r="U67" i="50"/>
  <c r="R68" i="50"/>
  <c r="W68" i="50" s="1"/>
  <c r="T68" i="50"/>
  <c r="V73" i="50"/>
  <c r="T74" i="50"/>
  <c r="T77" i="50"/>
  <c r="W79" i="50"/>
  <c r="T80" i="50"/>
  <c r="S82" i="50"/>
  <c r="W82" i="50"/>
  <c r="U84" i="50"/>
  <c r="U88" i="50"/>
  <c r="U2" i="10"/>
  <c r="AB2" i="10"/>
  <c r="AH2" i="10"/>
  <c r="AM2" i="10"/>
  <c r="AT2" i="10"/>
  <c r="AZ2" i="10"/>
  <c r="V3" i="10"/>
  <c r="AJ3" i="10"/>
  <c r="AP3" i="10"/>
  <c r="AV3" i="10"/>
  <c r="V4" i="10"/>
  <c r="AC4" i="10"/>
  <c r="AJ4" i="10"/>
  <c r="AP4" i="10"/>
  <c r="AU4" i="10"/>
  <c r="BB4" i="10"/>
  <c r="R5" i="10"/>
  <c r="W5" i="10"/>
  <c r="AD5" i="10"/>
  <c r="AK5" i="10"/>
  <c r="AQ5" i="10"/>
  <c r="AV5" i="10"/>
  <c r="BC5" i="10"/>
  <c r="W6" i="10"/>
  <c r="AD6" i="10"/>
  <c r="AJ6" i="10"/>
  <c r="AQ6" i="10"/>
  <c r="AV6" i="10"/>
  <c r="BB6" i="10"/>
  <c r="S8" i="10"/>
  <c r="AE8" i="10"/>
  <c r="AR8" i="10"/>
  <c r="U9" i="10"/>
  <c r="BC11" i="10"/>
  <c r="AY12" i="10"/>
  <c r="X13" i="10"/>
  <c r="AN13" i="10"/>
  <c r="BN13" i="10"/>
  <c r="BC14" i="10"/>
  <c r="BO14" i="10"/>
  <c r="AP14" i="10"/>
  <c r="V14" i="10"/>
  <c r="AY14" i="10"/>
  <c r="AF14" i="10"/>
  <c r="AI14" i="10"/>
  <c r="X16" i="10"/>
  <c r="V19" i="10"/>
  <c r="AF19" i="10"/>
  <c r="AP19" i="10"/>
  <c r="AY19" i="10"/>
  <c r="BO19" i="10"/>
  <c r="BA20" i="10"/>
  <c r="AV20" i="10"/>
  <c r="AR20" i="10"/>
  <c r="AM20" i="10"/>
  <c r="AI20" i="10"/>
  <c r="AD20" i="10"/>
  <c r="X20" i="10"/>
  <c r="T20" i="10"/>
  <c r="S20" i="10"/>
  <c r="AC20" i="10"/>
  <c r="AL20" i="10"/>
  <c r="AU20" i="10"/>
  <c r="BD20" i="10"/>
  <c r="BF21" i="10"/>
  <c r="BJ21" i="10"/>
  <c r="Z21" i="10"/>
  <c r="BG21" i="10"/>
  <c r="BK21" i="10"/>
  <c r="BH21" i="10"/>
  <c r="BI21" i="10"/>
  <c r="BR21" i="10"/>
  <c r="BN21" i="10"/>
  <c r="BB21" i="10"/>
  <c r="AX21" i="10"/>
  <c r="AS21" i="10"/>
  <c r="AN21" i="10"/>
  <c r="AJ21" i="10"/>
  <c r="AE21" i="10"/>
  <c r="AA21" i="10"/>
  <c r="U21" i="10"/>
  <c r="BU21" i="10"/>
  <c r="BP21" i="10"/>
  <c r="BD21" i="10"/>
  <c r="AZ21" i="10"/>
  <c r="AU21" i="10"/>
  <c r="AQ21" i="10"/>
  <c r="AL21" i="10"/>
  <c r="AH21" i="10"/>
  <c r="AC21" i="10"/>
  <c r="W21" i="10"/>
  <c r="S21" i="10"/>
  <c r="T21" i="10"/>
  <c r="AD21" i="10"/>
  <c r="AM21" i="10"/>
  <c r="AV21" i="10"/>
  <c r="BM21" i="10"/>
  <c r="AA22" i="10"/>
  <c r="AJ22" i="10"/>
  <c r="AS22" i="10"/>
  <c r="AF23" i="10"/>
  <c r="AP23" i="10"/>
  <c r="AY23" i="10"/>
  <c r="BO23" i="10"/>
  <c r="BA24" i="10"/>
  <c r="AV24" i="10"/>
  <c r="AR24" i="10"/>
  <c r="AM24" i="10"/>
  <c r="AI24" i="10"/>
  <c r="AD24" i="10"/>
  <c r="X24" i="10"/>
  <c r="T24" i="10"/>
  <c r="S24" i="10"/>
  <c r="AC24" i="10"/>
  <c r="AL24" i="10"/>
  <c r="AU24" i="10"/>
  <c r="BD24" i="10"/>
  <c r="V25" i="10"/>
  <c r="AH25" i="10"/>
  <c r="AR25" i="10"/>
  <c r="BA25" i="10"/>
  <c r="BR25" i="10"/>
  <c r="V29" i="10"/>
  <c r="AF29" i="10"/>
  <c r="AP29" i="10"/>
  <c r="AY29" i="10"/>
  <c r="BO29" i="10"/>
  <c r="BA33" i="10"/>
  <c r="AV33" i="10"/>
  <c r="AR33" i="10"/>
  <c r="AM33" i="10"/>
  <c r="AI33" i="10"/>
  <c r="AD33" i="10"/>
  <c r="X33" i="10"/>
  <c r="T33" i="10"/>
  <c r="S33" i="10"/>
  <c r="AC33" i="10"/>
  <c r="AL33" i="10"/>
  <c r="AU33" i="10"/>
  <c r="BD33" i="10"/>
  <c r="BQ34" i="10"/>
  <c r="U36" i="10"/>
  <c r="AE36" i="10"/>
  <c r="AN36" i="10"/>
  <c r="AX36" i="10"/>
  <c r="AA38" i="10"/>
  <c r="AK38" i="10"/>
  <c r="AU38" i="10"/>
  <c r="BD38" i="10"/>
  <c r="W39" i="10"/>
  <c r="AH39" i="10"/>
  <c r="AQ39" i="10"/>
  <c r="AA41" i="10"/>
  <c r="AZ43" i="10"/>
  <c r="V43" i="10"/>
  <c r="AQ43" i="10"/>
  <c r="BP43" i="10"/>
  <c r="AH43" i="10"/>
  <c r="BD43" i="10"/>
  <c r="AA44" i="10"/>
  <c r="AX44" i="10"/>
  <c r="AD57" i="10"/>
  <c r="AV57" i="10"/>
  <c r="T58" i="10"/>
  <c r="AM58" i="10"/>
  <c r="V60" i="10"/>
  <c r="AU62" i="10"/>
  <c r="Z75" i="10"/>
  <c r="BR75" i="10"/>
  <c r="AX75" i="10"/>
  <c r="AL75" i="10"/>
  <c r="AB75" i="10"/>
  <c r="BD75" i="10"/>
  <c r="AR75" i="10"/>
  <c r="AC75" i="10"/>
  <c r="AY75" i="10"/>
  <c r="AI75" i="10"/>
  <c r="U75" i="10"/>
  <c r="AN75" i="10"/>
  <c r="BB75" i="10"/>
  <c r="V75" i="10"/>
  <c r="AS75" i="10"/>
  <c r="AR88" i="10"/>
  <c r="U16" i="51"/>
  <c r="W16" i="51"/>
  <c r="S16" i="51"/>
  <c r="T16" i="51"/>
  <c r="V16" i="51"/>
  <c r="X67" i="51"/>
  <c r="S67" i="51"/>
  <c r="U67" i="51"/>
  <c r="T67" i="51"/>
  <c r="V67" i="51"/>
  <c r="T23" i="50"/>
  <c r="X23" i="50"/>
  <c r="V26" i="50"/>
  <c r="T33" i="50"/>
  <c r="T38" i="50"/>
  <c r="V42" i="50"/>
  <c r="T48" i="50"/>
  <c r="T51" i="50"/>
  <c r="T54" i="50"/>
  <c r="V56" i="50"/>
  <c r="T58" i="50"/>
  <c r="X58" i="50"/>
  <c r="V63" i="50"/>
  <c r="U65" i="50"/>
  <c r="U68" i="50"/>
  <c r="W2" i="10"/>
  <c r="AC2" i="10"/>
  <c r="AI2" i="10"/>
  <c r="AP2" i="10"/>
  <c r="AU2" i="10"/>
  <c r="BA2" i="10"/>
  <c r="R4" i="10"/>
  <c r="W4" i="10"/>
  <c r="AE4" i="10"/>
  <c r="AK4" i="10"/>
  <c r="AQ4" i="10"/>
  <c r="AX4" i="10"/>
  <c r="BF5" i="10"/>
  <c r="BJ5" i="10"/>
  <c r="Z5" i="10"/>
  <c r="BG5" i="10"/>
  <c r="BK5" i="10"/>
  <c r="BH5" i="10"/>
  <c r="BI5" i="10"/>
  <c r="BR5" i="10"/>
  <c r="BN5" i="10"/>
  <c r="BB5" i="10"/>
  <c r="AX5" i="10"/>
  <c r="AS5" i="10"/>
  <c r="AN5" i="10"/>
  <c r="AJ5" i="10"/>
  <c r="AE5" i="10"/>
  <c r="AA5" i="10"/>
  <c r="U5" i="10"/>
  <c r="BU5" i="10"/>
  <c r="S5" i="10"/>
  <c r="X5" i="10"/>
  <c r="AF5" i="10"/>
  <c r="AL5" i="10"/>
  <c r="AR5" i="10"/>
  <c r="AY5" i="10"/>
  <c r="BD5" i="10"/>
  <c r="BQ5" i="10"/>
  <c r="BR8" i="10"/>
  <c r="BM8" i="10"/>
  <c r="AZ8" i="10"/>
  <c r="AS8" i="10"/>
  <c r="AM8" i="10"/>
  <c r="AH8" i="10"/>
  <c r="AA8" i="10"/>
  <c r="T8" i="10"/>
  <c r="BP8" i="10"/>
  <c r="BB8" i="10"/>
  <c r="AV8" i="10"/>
  <c r="AQ8" i="10"/>
  <c r="AJ8" i="10"/>
  <c r="AD8" i="10"/>
  <c r="W8" i="10"/>
  <c r="U8" i="10"/>
  <c r="AI8" i="10"/>
  <c r="AU8" i="10"/>
  <c r="BN8" i="10"/>
  <c r="AH9" i="10"/>
  <c r="N15" i="10"/>
  <c r="BC16" i="10"/>
  <c r="AY16" i="10"/>
  <c r="AF16" i="10"/>
  <c r="BO16" i="10"/>
  <c r="AP16" i="10"/>
  <c r="V16" i="10"/>
  <c r="AI16" i="10"/>
  <c r="S22" i="10"/>
  <c r="AC22" i="10"/>
  <c r="AL22" i="10"/>
  <c r="AU22" i="10"/>
  <c r="BD22" i="10"/>
  <c r="BA39" i="10"/>
  <c r="AV39" i="10"/>
  <c r="AR39" i="10"/>
  <c r="AM39" i="10"/>
  <c r="AI39" i="10"/>
  <c r="AD39" i="10"/>
  <c r="X39" i="10"/>
  <c r="T39" i="10"/>
  <c r="AA39" i="10"/>
  <c r="AJ39" i="10"/>
  <c r="AS39" i="10"/>
  <c r="BB39" i="10"/>
  <c r="BP41" i="10"/>
  <c r="AX41" i="10"/>
  <c r="AE41" i="10"/>
  <c r="BN41" i="10"/>
  <c r="AN41" i="10"/>
  <c r="U41" i="10"/>
  <c r="AJ41" i="10"/>
  <c r="BB48" i="10"/>
  <c r="AP48" i="10"/>
  <c r="AA48" i="10"/>
  <c r="AT48" i="10"/>
  <c r="AI48" i="10"/>
  <c r="U48" i="10"/>
  <c r="AS48" i="10"/>
  <c r="BA57" i="10"/>
  <c r="Z58" i="10"/>
  <c r="BI58" i="10"/>
  <c r="BJ58" i="10"/>
  <c r="BH58" i="10"/>
  <c r="BF58" i="10"/>
  <c r="BG58" i="10"/>
  <c r="BK58" i="10"/>
  <c r="BR58" i="10"/>
  <c r="BN58" i="10"/>
  <c r="BB58" i="10"/>
  <c r="AX58" i="10"/>
  <c r="AS58" i="10"/>
  <c r="AN58" i="10"/>
  <c r="AJ58" i="10"/>
  <c r="AE58" i="10"/>
  <c r="AA58" i="10"/>
  <c r="U58" i="10"/>
  <c r="BU58" i="10"/>
  <c r="BP58" i="10"/>
  <c r="BD58" i="10"/>
  <c r="AZ58" i="10"/>
  <c r="AU58" i="10"/>
  <c r="AQ58" i="10"/>
  <c r="AL58" i="10"/>
  <c r="AH58" i="10"/>
  <c r="AC58" i="10"/>
  <c r="W58" i="10"/>
  <c r="S58" i="10"/>
  <c r="BC58" i="10"/>
  <c r="AT58" i="10"/>
  <c r="AK58" i="10"/>
  <c r="AB58" i="10"/>
  <c r="R58" i="10"/>
  <c r="BO58" i="10"/>
  <c r="AY58" i="10"/>
  <c r="AP58" i="10"/>
  <c r="AF58" i="10"/>
  <c r="V58" i="10"/>
  <c r="X58" i="10"/>
  <c r="AR58" i="10"/>
  <c r="BQ58" i="10"/>
  <c r="BN60" i="10"/>
  <c r="AY60" i="10"/>
  <c r="AP60" i="10"/>
  <c r="AI60" i="10"/>
  <c r="AA60" i="10"/>
  <c r="BU60" i="10"/>
  <c r="BR60" i="10"/>
  <c r="BB60" i="10"/>
  <c r="AT60" i="10"/>
  <c r="AM60" i="10"/>
  <c r="AD60" i="10"/>
  <c r="U60" i="10"/>
  <c r="BO60" i="10"/>
  <c r="AS60" i="10"/>
  <c r="AB60" i="10"/>
  <c r="BA60" i="10"/>
  <c r="AJ60" i="10"/>
  <c r="T60" i="10"/>
  <c r="AF60" i="10"/>
  <c r="BH62" i="10"/>
  <c r="BB62" i="10"/>
  <c r="BC81" i="10"/>
  <c r="AK81" i="10"/>
  <c r="R81" i="10"/>
  <c r="AL81" i="10"/>
  <c r="AU81" i="10"/>
  <c r="AB81" i="10"/>
  <c r="BD81" i="10"/>
  <c r="AC81" i="10"/>
  <c r="BB85" i="10"/>
  <c r="AS85" i="10"/>
  <c r="AJ85" i="10"/>
  <c r="AA85" i="10"/>
  <c r="AX85" i="10"/>
  <c r="AN85" i="10"/>
  <c r="AE85" i="10"/>
  <c r="U85" i="10"/>
  <c r="AQ85" i="10"/>
  <c r="W85" i="10"/>
  <c r="AZ85" i="10"/>
  <c r="AH85" i="10"/>
  <c r="S85" i="10"/>
  <c r="BD85" i="10"/>
  <c r="U14" i="51"/>
  <c r="W14" i="51"/>
  <c r="S14" i="51"/>
  <c r="T14" i="51"/>
  <c r="V14" i="51"/>
  <c r="S3" i="50"/>
  <c r="T4" i="50"/>
  <c r="T12" i="50"/>
  <c r="T14" i="50"/>
  <c r="S16" i="50"/>
  <c r="S21" i="50"/>
  <c r="T22" i="50"/>
  <c r="T25" i="50"/>
  <c r="S26" i="50"/>
  <c r="R27" i="50"/>
  <c r="X27" i="50" s="1"/>
  <c r="T29" i="50"/>
  <c r="S36" i="50"/>
  <c r="T37" i="50"/>
  <c r="S41" i="50"/>
  <c r="S45" i="50"/>
  <c r="T46" i="50"/>
  <c r="S50" i="50"/>
  <c r="T53" i="50"/>
  <c r="T57" i="50"/>
  <c r="S62" i="50"/>
  <c r="T64" i="50"/>
  <c r="S67" i="50"/>
  <c r="T82" i="50"/>
  <c r="X84" i="50"/>
  <c r="W88" i="50"/>
  <c r="S2" i="10"/>
  <c r="X2" i="10"/>
  <c r="AD2" i="10"/>
  <c r="AK2" i="10"/>
  <c r="AQ2" i="10"/>
  <c r="AV2" i="10"/>
  <c r="AC3" i="10"/>
  <c r="BF3" i="10"/>
  <c r="BJ3" i="10"/>
  <c r="Z3" i="10"/>
  <c r="AD3" i="10"/>
  <c r="BG3" i="10"/>
  <c r="BK3" i="10"/>
  <c r="AA3" i="10"/>
  <c r="AE3" i="10"/>
  <c r="BH3" i="10"/>
  <c r="AB3" i="10"/>
  <c r="AF3" i="10"/>
  <c r="BI3" i="10"/>
  <c r="BP3" i="10"/>
  <c r="BD3" i="10"/>
  <c r="AZ3" i="10"/>
  <c r="AU3" i="10"/>
  <c r="AQ3" i="10"/>
  <c r="AL3" i="10"/>
  <c r="AH3" i="10"/>
  <c r="U3" i="10"/>
  <c r="BU3" i="10"/>
  <c r="S3" i="10"/>
  <c r="X3" i="10"/>
  <c r="AM3" i="10"/>
  <c r="AS3" i="10"/>
  <c r="AY3" i="10"/>
  <c r="BM3" i="10"/>
  <c r="BR3" i="10"/>
  <c r="Z4" i="10"/>
  <c r="BH4" i="10"/>
  <c r="BI4" i="10"/>
  <c r="BF4" i="10"/>
  <c r="BJ4" i="10"/>
  <c r="BG4" i="10"/>
  <c r="BK4" i="10"/>
  <c r="BQ4" i="10"/>
  <c r="BM4" i="10"/>
  <c r="BA4" i="10"/>
  <c r="AV4" i="10"/>
  <c r="AR4" i="10"/>
  <c r="AM4" i="10"/>
  <c r="AI4" i="10"/>
  <c r="AD4" i="10"/>
  <c r="X4" i="10"/>
  <c r="T4" i="10"/>
  <c r="BT4" i="10"/>
  <c r="S4" i="10"/>
  <c r="AA4" i="10"/>
  <c r="AF4" i="10"/>
  <c r="AL4" i="10"/>
  <c r="AS4" i="10"/>
  <c r="AY4" i="10"/>
  <c r="BD4" i="10"/>
  <c r="BR4" i="10"/>
  <c r="T5" i="10"/>
  <c r="AB5" i="10"/>
  <c r="AH5" i="10"/>
  <c r="AM5" i="10"/>
  <c r="AT5" i="10"/>
  <c r="AZ5" i="10"/>
  <c r="BM5" i="10"/>
  <c r="T6" i="10"/>
  <c r="AA6" i="10"/>
  <c r="AH6" i="10"/>
  <c r="AM6" i="10"/>
  <c r="AS6" i="10"/>
  <c r="BQ7" i="10"/>
  <c r="BD7" i="10"/>
  <c r="AU7" i="10"/>
  <c r="AL7" i="10"/>
  <c r="AC7" i="10"/>
  <c r="S7" i="10"/>
  <c r="BP7" i="10"/>
  <c r="AZ7" i="10"/>
  <c r="AQ7" i="10"/>
  <c r="AH7" i="10"/>
  <c r="W7" i="10"/>
  <c r="AA7" i="10"/>
  <c r="AS7" i="10"/>
  <c r="BR7" i="10"/>
  <c r="X8" i="10"/>
  <c r="AL8" i="10"/>
  <c r="AX8" i="10"/>
  <c r="BQ8" i="10"/>
  <c r="AZ9" i="10"/>
  <c r="AE11" i="10"/>
  <c r="S13" i="10"/>
  <c r="AE13" i="10"/>
  <c r="AX13" i="10"/>
  <c r="BT14" i="10"/>
  <c r="BA14" i="10"/>
  <c r="BD15" i="10"/>
  <c r="AU15" i="10"/>
  <c r="AL15" i="10"/>
  <c r="AC15" i="10"/>
  <c r="S15" i="10"/>
  <c r="BP15" i="10"/>
  <c r="AZ15" i="10"/>
  <c r="AQ15" i="10"/>
  <c r="AH15" i="10"/>
  <c r="W15" i="10"/>
  <c r="AA15" i="10"/>
  <c r="AS15" i="10"/>
  <c r="BR15" i="10"/>
  <c r="AR16" i="10"/>
  <c r="R19" i="10"/>
  <c r="AB19" i="10"/>
  <c r="AK19" i="10"/>
  <c r="AT19" i="10"/>
  <c r="BC19" i="10"/>
  <c r="W20" i="10"/>
  <c r="AH20" i="10"/>
  <c r="AQ20" i="10"/>
  <c r="AZ20" i="10"/>
  <c r="X21" i="10"/>
  <c r="AI21" i="10"/>
  <c r="AR21" i="10"/>
  <c r="BA21" i="10"/>
  <c r="BQ21" i="10"/>
  <c r="U22" i="10"/>
  <c r="AE22" i="10"/>
  <c r="AN22" i="10"/>
  <c r="R23" i="10"/>
  <c r="AB23" i="10"/>
  <c r="AK23" i="10"/>
  <c r="AT23" i="10"/>
  <c r="BC23" i="10"/>
  <c r="W24" i="10"/>
  <c r="AH24" i="10"/>
  <c r="AQ24" i="10"/>
  <c r="AZ24" i="10"/>
  <c r="R25" i="10"/>
  <c r="AB25" i="10"/>
  <c r="AM25" i="10"/>
  <c r="AV25" i="10"/>
  <c r="BM25" i="10"/>
  <c r="R29" i="10"/>
  <c r="AB29" i="10"/>
  <c r="AK29" i="10"/>
  <c r="AT29" i="10"/>
  <c r="BC29" i="10"/>
  <c r="W33" i="10"/>
  <c r="AH33" i="10"/>
  <c r="AQ33" i="10"/>
  <c r="AZ33" i="10"/>
  <c r="AA36" i="10"/>
  <c r="AJ36" i="10"/>
  <c r="AS36" i="10"/>
  <c r="BB36" i="10"/>
  <c r="Z37" i="10"/>
  <c r="BI37" i="10"/>
  <c r="BF37" i="10"/>
  <c r="BJ37" i="10"/>
  <c r="BG37" i="10"/>
  <c r="BK37" i="10"/>
  <c r="BH37" i="10"/>
  <c r="BR37" i="10"/>
  <c r="BN37" i="10"/>
  <c r="BB37" i="10"/>
  <c r="AX37" i="10"/>
  <c r="AS37" i="10"/>
  <c r="AN37" i="10"/>
  <c r="AJ37" i="10"/>
  <c r="AE37" i="10"/>
  <c r="AA37" i="10"/>
  <c r="U37" i="10"/>
  <c r="BU37" i="10"/>
  <c r="BP37" i="10"/>
  <c r="BD37" i="10"/>
  <c r="AZ37" i="10"/>
  <c r="AU37" i="10"/>
  <c r="AQ37" i="10"/>
  <c r="AL37" i="10"/>
  <c r="AH37" i="10"/>
  <c r="AC37" i="10"/>
  <c r="W37" i="10"/>
  <c r="S37" i="10"/>
  <c r="T37" i="10"/>
  <c r="AD37" i="10"/>
  <c r="AM37" i="10"/>
  <c r="AV37" i="10"/>
  <c r="BM37" i="10"/>
  <c r="U38" i="10"/>
  <c r="AE38" i="10"/>
  <c r="AQ38" i="10"/>
  <c r="AZ38" i="10"/>
  <c r="S39" i="10"/>
  <c r="AC39" i="10"/>
  <c r="AL39" i="10"/>
  <c r="AU39" i="10"/>
  <c r="BD39" i="10"/>
  <c r="BQ40" i="10"/>
  <c r="BD40" i="10"/>
  <c r="AU40" i="10"/>
  <c r="AL40" i="10"/>
  <c r="AC40" i="10"/>
  <c r="S40" i="10"/>
  <c r="BP40" i="10"/>
  <c r="AZ40" i="10"/>
  <c r="AQ40" i="10"/>
  <c r="AH40" i="10"/>
  <c r="W40" i="10"/>
  <c r="AA40" i="10"/>
  <c r="AS40" i="10"/>
  <c r="BR40" i="10"/>
  <c r="AS41" i="10"/>
  <c r="AF42" i="10"/>
  <c r="R43" i="10"/>
  <c r="AM44" i="10"/>
  <c r="X48" i="10"/>
  <c r="AY48" i="10"/>
  <c r="AI49" i="10"/>
  <c r="T57" i="10"/>
  <c r="AM57" i="10"/>
  <c r="BM57" i="10"/>
  <c r="AD58" i="10"/>
  <c r="AV58" i="10"/>
  <c r="AN60" i="10"/>
  <c r="AA62" i="10"/>
  <c r="BA65" i="10"/>
  <c r="AU65" i="10"/>
  <c r="AN65" i="10"/>
  <c r="AI65" i="10"/>
  <c r="AC65" i="10"/>
  <c r="U65" i="10"/>
  <c r="AS65" i="10"/>
  <c r="AH65" i="10"/>
  <c r="T65" i="10"/>
  <c r="AZ65" i="10"/>
  <c r="AM65" i="10"/>
  <c r="AA65" i="10"/>
  <c r="AQ65" i="10"/>
  <c r="R75" i="10"/>
  <c r="AK77" i="10"/>
  <c r="AC85" i="10"/>
  <c r="X88" i="10"/>
  <c r="BQ88" i="10"/>
  <c r="U33" i="51"/>
  <c r="W33" i="51"/>
  <c r="S33" i="51"/>
  <c r="T33" i="51"/>
  <c r="V33" i="51"/>
  <c r="W43" i="51"/>
  <c r="T43" i="51"/>
  <c r="V43" i="51"/>
  <c r="X43" i="51"/>
  <c r="S43" i="51"/>
  <c r="S85" i="50"/>
  <c r="T87" i="50"/>
  <c r="R2" i="10"/>
  <c r="V2" i="10"/>
  <c r="AA2" i="10"/>
  <c r="AE2" i="10"/>
  <c r="AJ2" i="10"/>
  <c r="AN2" i="10"/>
  <c r="AS2" i="10"/>
  <c r="AX2" i="10"/>
  <c r="BB2" i="10"/>
  <c r="BG2" i="10"/>
  <c r="BK2" i="10"/>
  <c r="BH6" i="10"/>
  <c r="BI6" i="10"/>
  <c r="Z6" i="10"/>
  <c r="BF6" i="10"/>
  <c r="BJ6" i="10"/>
  <c r="BG6" i="10"/>
  <c r="BK6" i="10"/>
  <c r="R6" i="10"/>
  <c r="V6" i="10"/>
  <c r="AB6" i="10"/>
  <c r="AF6" i="10"/>
  <c r="AK6" i="10"/>
  <c r="AP6" i="10"/>
  <c r="AT6" i="10"/>
  <c r="AY6" i="10"/>
  <c r="BC6" i="10"/>
  <c r="BO6" i="10"/>
  <c r="BU9" i="10"/>
  <c r="AM9" i="10"/>
  <c r="BR9" i="10"/>
  <c r="Z20" i="10"/>
  <c r="BH20" i="10"/>
  <c r="BI20" i="10"/>
  <c r="BF20" i="10"/>
  <c r="BJ20" i="10"/>
  <c r="BG20" i="10"/>
  <c r="BK20" i="10"/>
  <c r="R20" i="10"/>
  <c r="V20" i="10"/>
  <c r="AB20" i="10"/>
  <c r="AF20" i="10"/>
  <c r="AK20" i="10"/>
  <c r="AP20" i="10"/>
  <c r="AT20" i="10"/>
  <c r="AY20" i="10"/>
  <c r="BC20" i="10"/>
  <c r="BO20" i="10"/>
  <c r="T22" i="10"/>
  <c r="X22" i="10"/>
  <c r="AD22" i="10"/>
  <c r="AI22" i="10"/>
  <c r="AM22" i="10"/>
  <c r="AR22" i="10"/>
  <c r="AV22" i="10"/>
  <c r="BA22" i="10"/>
  <c r="BM22" i="10"/>
  <c r="Z24" i="10"/>
  <c r="BH24" i="10"/>
  <c r="BI24" i="10"/>
  <c r="BF24" i="10"/>
  <c r="BJ24" i="10"/>
  <c r="BG24" i="10"/>
  <c r="BK24" i="10"/>
  <c r="R24" i="10"/>
  <c r="V24" i="10"/>
  <c r="AB24" i="10"/>
  <c r="AF24" i="10"/>
  <c r="AK24" i="10"/>
  <c r="AP24" i="10"/>
  <c r="AT24" i="10"/>
  <c r="AY24" i="10"/>
  <c r="BC24" i="10"/>
  <c r="BO24" i="10"/>
  <c r="BH25" i="10"/>
  <c r="BT26" i="10"/>
  <c r="T26" i="10"/>
  <c r="X26" i="10"/>
  <c r="AE26" i="10"/>
  <c r="AJ26" i="10"/>
  <c r="AP26" i="10"/>
  <c r="AT26" i="10"/>
  <c r="AY26" i="10"/>
  <c r="BC26" i="10"/>
  <c r="Z28" i="10"/>
  <c r="BF33" i="10"/>
  <c r="BJ33" i="10"/>
  <c r="Z33" i="10"/>
  <c r="BG33" i="10"/>
  <c r="BK33" i="10"/>
  <c r="BH33" i="10"/>
  <c r="BI33" i="10"/>
  <c r="R33" i="10"/>
  <c r="V33" i="10"/>
  <c r="AB33" i="10"/>
  <c r="AF33" i="10"/>
  <c r="AK33" i="10"/>
  <c r="AP33" i="10"/>
  <c r="AT33" i="10"/>
  <c r="AY33" i="10"/>
  <c r="BC33" i="10"/>
  <c r="BO33" i="10"/>
  <c r="BI34" i="10"/>
  <c r="BJ34" i="10"/>
  <c r="Z34" i="10"/>
  <c r="BF34" i="10"/>
  <c r="BK34" i="10"/>
  <c r="BG34" i="10"/>
  <c r="S34" i="10"/>
  <c r="X34" i="10"/>
  <c r="AE34" i="10"/>
  <c r="AJ34" i="10"/>
  <c r="AP34" i="10"/>
  <c r="AU34" i="10"/>
  <c r="AZ34" i="10"/>
  <c r="BM34" i="10"/>
  <c r="BR34" i="10"/>
  <c r="BG36" i="10"/>
  <c r="BK36" i="10"/>
  <c r="BH36" i="10"/>
  <c r="BI36" i="10"/>
  <c r="Z36" i="10"/>
  <c r="BF36" i="10"/>
  <c r="BJ36" i="10"/>
  <c r="R36" i="10"/>
  <c r="V36" i="10"/>
  <c r="AB36" i="10"/>
  <c r="AF36" i="10"/>
  <c r="AK36" i="10"/>
  <c r="AP36" i="10"/>
  <c r="AT36" i="10"/>
  <c r="AY36" i="10"/>
  <c r="BC36" i="10"/>
  <c r="BO36" i="10"/>
  <c r="BG38" i="10"/>
  <c r="Z38" i="10"/>
  <c r="BH38" i="10"/>
  <c r="BI38" i="10"/>
  <c r="BF38" i="10"/>
  <c r="BK38" i="10"/>
  <c r="R38" i="10"/>
  <c r="V38" i="10"/>
  <c r="AB38" i="10"/>
  <c r="AH38" i="10"/>
  <c r="AL38" i="10"/>
  <c r="AR38" i="10"/>
  <c r="AV38" i="10"/>
  <c r="BA38" i="10"/>
  <c r="BM38" i="10"/>
  <c r="BR38" i="10"/>
  <c r="BF39" i="10"/>
  <c r="BJ39" i="10"/>
  <c r="BG39" i="10"/>
  <c r="BK39" i="10"/>
  <c r="Z39" i="10"/>
  <c r="BH39" i="10"/>
  <c r="BI39" i="10"/>
  <c r="R39" i="10"/>
  <c r="V39" i="10"/>
  <c r="AB39" i="10"/>
  <c r="AF39" i="10"/>
  <c r="AK39" i="10"/>
  <c r="AP39" i="10"/>
  <c r="AT39" i="10"/>
  <c r="AY39" i="10"/>
  <c r="BC39" i="10"/>
  <c r="BO39" i="10"/>
  <c r="BQ44" i="10"/>
  <c r="BA44" i="10"/>
  <c r="AR44" i="10"/>
  <c r="AI44" i="10"/>
  <c r="X44" i="10"/>
  <c r="BT44" i="10"/>
  <c r="U44" i="10"/>
  <c r="AJ44" i="10"/>
  <c r="AV44" i="10"/>
  <c r="BN44" i="10"/>
  <c r="BR46" i="10"/>
  <c r="BP46" i="10"/>
  <c r="AP46" i="10"/>
  <c r="U46" i="10"/>
  <c r="AE46" i="10"/>
  <c r="BC46" i="10"/>
  <c r="BQ55" i="10"/>
  <c r="X55" i="10"/>
  <c r="BA56" i="10"/>
  <c r="AU56" i="10"/>
  <c r="AN56" i="10"/>
  <c r="AI56" i="10"/>
  <c r="AC56" i="10"/>
  <c r="U56" i="10"/>
  <c r="AD56" i="10"/>
  <c r="AQ56" i="10"/>
  <c r="BB56" i="10"/>
  <c r="T59" i="10"/>
  <c r="AH59" i="10"/>
  <c r="N60" i="10"/>
  <c r="BB66" i="10"/>
  <c r="AJ66" i="10"/>
  <c r="AV66" i="10"/>
  <c r="V66" i="10"/>
  <c r="AP66" i="10"/>
  <c r="BN74" i="10"/>
  <c r="AK79" i="10"/>
  <c r="U3" i="51"/>
  <c r="W3" i="51"/>
  <c r="S3" i="51"/>
  <c r="V3" i="51"/>
  <c r="W5" i="51"/>
  <c r="S5" i="51"/>
  <c r="U5" i="51"/>
  <c r="X5" i="51"/>
  <c r="T5" i="51"/>
  <c r="W23" i="51"/>
  <c r="S23" i="51"/>
  <c r="U23" i="51"/>
  <c r="T23" i="51"/>
  <c r="X23" i="51"/>
  <c r="W54" i="51"/>
  <c r="T54" i="51"/>
  <c r="U54" i="51"/>
  <c r="X54" i="51"/>
  <c r="W63" i="51"/>
  <c r="U63" i="51"/>
  <c r="V63" i="51"/>
  <c r="X63" i="51"/>
  <c r="AA9" i="10"/>
  <c r="BC12" i="10"/>
  <c r="AF12" i="10"/>
  <c r="BH22" i="10"/>
  <c r="BI22" i="10"/>
  <c r="Z22" i="10"/>
  <c r="BF22" i="10"/>
  <c r="BJ22" i="10"/>
  <c r="BG22" i="10"/>
  <c r="BK22" i="10"/>
  <c r="R22" i="10"/>
  <c r="AB22" i="10"/>
  <c r="AF22" i="10"/>
  <c r="AK22" i="10"/>
  <c r="AP22" i="10"/>
  <c r="AT22" i="10"/>
  <c r="AY22" i="10"/>
  <c r="BC22" i="10"/>
  <c r="BO22" i="10"/>
  <c r="BH26" i="10"/>
  <c r="BJ26" i="10"/>
  <c r="BF26" i="10"/>
  <c r="BK26" i="10"/>
  <c r="Z26" i="10"/>
  <c r="BG26" i="10"/>
  <c r="BI26" i="10"/>
  <c r="R26" i="10"/>
  <c r="V26" i="10"/>
  <c r="AB26" i="10"/>
  <c r="AH26" i="10"/>
  <c r="AM26" i="10"/>
  <c r="AR26" i="10"/>
  <c r="AV26" i="10"/>
  <c r="BM26" i="10"/>
  <c r="BR26" i="10"/>
  <c r="Z27" i="10"/>
  <c r="V34" i="10"/>
  <c r="AB34" i="10"/>
  <c r="AH34" i="10"/>
  <c r="AM34" i="10"/>
  <c r="AR34" i="10"/>
  <c r="AX34" i="10"/>
  <c r="N46" i="10"/>
  <c r="BK54" i="10"/>
  <c r="BT69" i="10"/>
  <c r="BU69" i="10"/>
  <c r="BN79" i="10"/>
  <c r="BD79" i="10"/>
  <c r="AU79" i="10"/>
  <c r="AJ79" i="10"/>
  <c r="AA79" i="10"/>
  <c r="BQ79" i="10"/>
  <c r="AV79" i="10"/>
  <c r="AF79" i="10"/>
  <c r="T79" i="10"/>
  <c r="BA79" i="10"/>
  <c r="AP79" i="10"/>
  <c r="AB79" i="10"/>
  <c r="AE79" i="10"/>
  <c r="BM79" i="10"/>
  <c r="AP80" i="10"/>
  <c r="V80" i="10"/>
  <c r="BN80" i="10"/>
  <c r="BO80" i="10"/>
  <c r="X2" i="51"/>
  <c r="T2" i="51"/>
  <c r="V2" i="51"/>
  <c r="S2" i="51"/>
  <c r="W2" i="51"/>
  <c r="W7" i="51"/>
  <c r="T7" i="51"/>
  <c r="V7" i="51"/>
  <c r="W79" i="51"/>
  <c r="T79" i="51"/>
  <c r="V79" i="51"/>
  <c r="X79" i="51"/>
  <c r="S79" i="51"/>
  <c r="V88" i="51"/>
  <c r="X88" i="51"/>
  <c r="S88" i="51"/>
  <c r="W88" i="51"/>
  <c r="U88" i="51"/>
  <c r="T48" i="10"/>
  <c r="AD48" i="10"/>
  <c r="AN48" i="10"/>
  <c r="AX48" i="10"/>
  <c r="S56" i="10"/>
  <c r="X56" i="10"/>
  <c r="AE56" i="10"/>
  <c r="AL56" i="10"/>
  <c r="AR56" i="10"/>
  <c r="AX56" i="10"/>
  <c r="BD56" i="10"/>
  <c r="BT59" i="10"/>
  <c r="U59" i="10"/>
  <c r="AC59" i="10"/>
  <c r="AI59" i="10"/>
  <c r="AN59" i="10"/>
  <c r="AU59" i="10"/>
  <c r="BA59" i="10"/>
  <c r="BN59" i="10"/>
  <c r="S65" i="10"/>
  <c r="X65" i="10"/>
  <c r="AE65" i="10"/>
  <c r="AL65" i="10"/>
  <c r="AR65" i="10"/>
  <c r="AX65" i="10"/>
  <c r="BD65" i="10"/>
  <c r="BC67" i="10"/>
  <c r="AQ67" i="10"/>
  <c r="AE67" i="10"/>
  <c r="R67" i="10"/>
  <c r="W67" i="10"/>
  <c r="AP67" i="10"/>
  <c r="BO67" i="10"/>
  <c r="AU68" i="10"/>
  <c r="BO68" i="10"/>
  <c r="BA68" i="10"/>
  <c r="AT68" i="10"/>
  <c r="AL68" i="10"/>
  <c r="AF68" i="10"/>
  <c r="X68" i="10"/>
  <c r="R68" i="10"/>
  <c r="U68" i="10"/>
  <c r="AD68" i="10"/>
  <c r="AP68" i="10"/>
  <c r="AX68" i="10"/>
  <c r="BN68" i="10"/>
  <c r="BR69" i="10"/>
  <c r="BP74" i="10"/>
  <c r="BB74" i="10"/>
  <c r="AV74" i="10"/>
  <c r="AQ74" i="10"/>
  <c r="AJ74" i="10"/>
  <c r="AD74" i="10"/>
  <c r="W74" i="10"/>
  <c r="BU74" i="10"/>
  <c r="T74" i="10"/>
  <c r="AC74" i="10"/>
  <c r="AL74" i="10"/>
  <c r="AS74" i="10"/>
  <c r="BA74" i="10"/>
  <c r="BQ74" i="10"/>
  <c r="BC75" i="10"/>
  <c r="BR82" i="10"/>
  <c r="BD82" i="10"/>
  <c r="AU82" i="10"/>
  <c r="AL82" i="10"/>
  <c r="AC82" i="10"/>
  <c r="S82" i="10"/>
  <c r="W82" i="10"/>
  <c r="AI82" i="10"/>
  <c r="AV82" i="10"/>
  <c r="BP82" i="10"/>
  <c r="BN84" i="10"/>
  <c r="AX84" i="10"/>
  <c r="AN84" i="10"/>
  <c r="AE84" i="10"/>
  <c r="U84" i="10"/>
  <c r="BR84" i="10"/>
  <c r="BB84" i="10"/>
  <c r="AS84" i="10"/>
  <c r="AJ84" i="10"/>
  <c r="AA84" i="10"/>
  <c r="BU84" i="10"/>
  <c r="X84" i="10"/>
  <c r="AR84" i="10"/>
  <c r="BH87" i="10"/>
  <c r="BJ87" i="10"/>
  <c r="BF87" i="10"/>
  <c r="BK87" i="10"/>
  <c r="BG87" i="10"/>
  <c r="BQ87" i="10"/>
  <c r="BD87" i="10"/>
  <c r="AZ87" i="10"/>
  <c r="AU87" i="10"/>
  <c r="AQ87" i="10"/>
  <c r="AK87" i="10"/>
  <c r="AE87" i="10"/>
  <c r="AA87" i="10"/>
  <c r="U87" i="10"/>
  <c r="BN87" i="10"/>
  <c r="BB87" i="10"/>
  <c r="AS87" i="10"/>
  <c r="AM87" i="10"/>
  <c r="AI87" i="10"/>
  <c r="AC87" i="10"/>
  <c r="W87" i="10"/>
  <c r="S87" i="10"/>
  <c r="V87" i="10"/>
  <c r="AF87" i="10"/>
  <c r="AR87" i="10"/>
  <c r="BA87" i="10"/>
  <c r="BR87" i="10"/>
  <c r="BT89" i="10"/>
  <c r="X89" i="10"/>
  <c r="AI89" i="10"/>
  <c r="AR89" i="10"/>
  <c r="BA89" i="10"/>
  <c r="W9" i="51"/>
  <c r="U9" i="51"/>
  <c r="V9" i="51"/>
  <c r="T11" i="51"/>
  <c r="V11" i="51"/>
  <c r="W11" i="51"/>
  <c r="W19" i="51"/>
  <c r="S19" i="51"/>
  <c r="V19" i="51"/>
  <c r="U21" i="51"/>
  <c r="W21" i="51"/>
  <c r="S21" i="51"/>
  <c r="U51" i="51"/>
  <c r="W51" i="51"/>
  <c r="S51" i="51"/>
  <c r="T51" i="51"/>
  <c r="U57" i="51"/>
  <c r="W57" i="51"/>
  <c r="X57" i="51"/>
  <c r="T57" i="51"/>
  <c r="S59" i="10"/>
  <c r="X59" i="10"/>
  <c r="AE59" i="10"/>
  <c r="AL59" i="10"/>
  <c r="AR59" i="10"/>
  <c r="AX59" i="10"/>
  <c r="BD59" i="10"/>
  <c r="N67" i="10"/>
  <c r="BJ68" i="10"/>
  <c r="BH69" i="10"/>
  <c r="BB77" i="10"/>
  <c r="BI89" i="10"/>
  <c r="BF89" i="10"/>
  <c r="BJ89" i="10"/>
  <c r="BG89" i="10"/>
  <c r="BK89" i="10"/>
  <c r="Z89" i="10"/>
  <c r="BH89" i="10"/>
  <c r="BR89" i="10"/>
  <c r="BN89" i="10"/>
  <c r="BB89" i="10"/>
  <c r="AX89" i="10"/>
  <c r="AS89" i="10"/>
  <c r="AN89" i="10"/>
  <c r="AJ89" i="10"/>
  <c r="AE89" i="10"/>
  <c r="AA89" i="10"/>
  <c r="U89" i="10"/>
  <c r="BU89" i="10"/>
  <c r="BP89" i="10"/>
  <c r="BD89" i="10"/>
  <c r="AZ89" i="10"/>
  <c r="AU89" i="10"/>
  <c r="AQ89" i="10"/>
  <c r="AL89" i="10"/>
  <c r="AH89" i="10"/>
  <c r="AC89" i="10"/>
  <c r="W89" i="10"/>
  <c r="S89" i="10"/>
  <c r="T89" i="10"/>
  <c r="AD89" i="10"/>
  <c r="AM89" i="10"/>
  <c r="AV89" i="10"/>
  <c r="BM89" i="10"/>
  <c r="S11" i="51"/>
  <c r="W28" i="51"/>
  <c r="T28" i="51"/>
  <c r="V28" i="51"/>
  <c r="S28" i="51"/>
  <c r="V38" i="51"/>
  <c r="T38" i="51"/>
  <c r="S38" i="51"/>
  <c r="W38" i="51"/>
  <c r="W39" i="51"/>
  <c r="S39" i="51"/>
  <c r="U39" i="51"/>
  <c r="T39" i="51"/>
  <c r="T41" i="51"/>
  <c r="W41" i="51"/>
  <c r="V41" i="51"/>
  <c r="U45" i="51"/>
  <c r="W45" i="51"/>
  <c r="S45" i="51"/>
  <c r="T45" i="51"/>
  <c r="X73" i="51"/>
  <c r="S73" i="51"/>
  <c r="U73" i="51"/>
  <c r="T73" i="51"/>
  <c r="BF85" i="10"/>
  <c r="BJ85" i="10"/>
  <c r="Z85" i="10"/>
  <c r="BG85" i="10"/>
  <c r="BK85" i="10"/>
  <c r="BH85" i="10"/>
  <c r="BI85" i="10"/>
  <c r="R85" i="10"/>
  <c r="V85" i="10"/>
  <c r="AB85" i="10"/>
  <c r="AF85" i="10"/>
  <c r="AK85" i="10"/>
  <c r="AP85" i="10"/>
  <c r="AT85" i="10"/>
  <c r="AY85" i="10"/>
  <c r="BC85" i="10"/>
  <c r="BO85" i="10"/>
  <c r="T4" i="51"/>
  <c r="U12" i="51"/>
  <c r="U15" i="51"/>
  <c r="T22" i="51"/>
  <c r="X22" i="51"/>
  <c r="U52" i="51"/>
  <c r="W52" i="51"/>
  <c r="X52" i="51"/>
  <c r="W59" i="51"/>
  <c r="U59" i="51"/>
  <c r="V59" i="51"/>
  <c r="V68" i="51"/>
  <c r="T68" i="51"/>
  <c r="X68" i="51"/>
  <c r="U74" i="51"/>
  <c r="S74" i="51"/>
  <c r="V74" i="51"/>
  <c r="T77" i="51"/>
  <c r="W77" i="51"/>
  <c r="X77" i="51"/>
  <c r="S84" i="51"/>
  <c r="BQ68" i="10"/>
  <c r="BT68" i="10"/>
  <c r="AU69" i="10"/>
  <c r="T69" i="10"/>
  <c r="AA69" i="10"/>
  <c r="AH69" i="10"/>
  <c r="AP69" i="10"/>
  <c r="AV69" i="10"/>
  <c r="BB69" i="10"/>
  <c r="AM75" i="10"/>
  <c r="AB77" i="10"/>
  <c r="BT85" i="10"/>
  <c r="T85" i="10"/>
  <c r="X85" i="10"/>
  <c r="AD85" i="10"/>
  <c r="AI85" i="10"/>
  <c r="AM85" i="10"/>
  <c r="AR85" i="10"/>
  <c r="AV85" i="10"/>
  <c r="BA85" i="10"/>
  <c r="BM85" i="10"/>
  <c r="BQ85" i="10"/>
  <c r="T6" i="51"/>
  <c r="S12" i="51"/>
  <c r="T13" i="51"/>
  <c r="S15" i="51"/>
  <c r="T20" i="51"/>
  <c r="W25" i="51"/>
  <c r="S25" i="51"/>
  <c r="R29" i="51"/>
  <c r="X29" i="51" s="1"/>
  <c r="W36" i="51"/>
  <c r="S36" i="51"/>
  <c r="U36" i="51"/>
  <c r="V36" i="51"/>
  <c r="R37" i="51"/>
  <c r="X37" i="51" s="1"/>
  <c r="T46" i="51"/>
  <c r="W46" i="51"/>
  <c r="X46" i="51"/>
  <c r="X50" i="51"/>
  <c r="S50" i="51"/>
  <c r="V50" i="51"/>
  <c r="W50" i="51"/>
  <c r="S52" i="51"/>
  <c r="X62" i="51"/>
  <c r="S62" i="51"/>
  <c r="V62" i="51"/>
  <c r="W62" i="51"/>
  <c r="U66" i="51"/>
  <c r="X66" i="51"/>
  <c r="S66" i="51"/>
  <c r="V66" i="51"/>
  <c r="S68" i="51"/>
  <c r="S77" i="51"/>
  <c r="N80" i="51"/>
  <c r="N81" i="51"/>
  <c r="N85" i="51"/>
  <c r="V24" i="51"/>
  <c r="T26" i="51"/>
  <c r="X26" i="51"/>
  <c r="V29" i="51"/>
  <c r="S34" i="51"/>
  <c r="V37" i="51"/>
  <c r="S40" i="51"/>
  <c r="X40" i="51"/>
  <c r="T42" i="51"/>
  <c r="X42" i="51"/>
  <c r="V44" i="51"/>
  <c r="S49" i="51"/>
  <c r="X49" i="51"/>
  <c r="V53" i="51"/>
  <c r="W55" i="51"/>
  <c r="V56" i="51"/>
  <c r="T58" i="51"/>
  <c r="X58" i="51"/>
  <c r="S60" i="51"/>
  <c r="X60" i="51"/>
  <c r="W64" i="51"/>
  <c r="U65" i="51"/>
  <c r="R68" i="51"/>
  <c r="W68" i="51" s="1"/>
  <c r="S69" i="51"/>
  <c r="X69" i="51"/>
  <c r="S75" i="51"/>
  <c r="X75" i="51"/>
  <c r="S78" i="51"/>
  <c r="X78" i="51"/>
  <c r="R79" i="51"/>
  <c r="U79" i="51" s="1"/>
  <c r="V82" i="51"/>
  <c r="W85" i="51"/>
  <c r="R87" i="51"/>
  <c r="T87" i="51"/>
  <c r="X87" i="51"/>
  <c r="T24" i="51"/>
  <c r="T29" i="51"/>
  <c r="T37" i="51"/>
  <c r="U40" i="51"/>
  <c r="T44" i="51"/>
  <c r="S48" i="51"/>
  <c r="T53" i="51"/>
  <c r="S56" i="51"/>
  <c r="S65" i="51"/>
  <c r="N77" i="51"/>
  <c r="S80" i="51"/>
  <c r="S81" i="51"/>
  <c r="T82" i="51"/>
  <c r="BG45" i="10"/>
  <c r="Z45" i="10"/>
  <c r="BH45" i="10"/>
  <c r="BI45" i="10"/>
  <c r="BF45" i="10"/>
  <c r="BK45" i="10"/>
  <c r="BO45" i="10"/>
  <c r="BC45" i="10"/>
  <c r="AY45" i="10"/>
  <c r="AT45" i="10"/>
  <c r="AP45" i="10"/>
  <c r="AJ45" i="10"/>
  <c r="AE45" i="10"/>
  <c r="AA45" i="10"/>
  <c r="U45" i="10"/>
  <c r="BU45" i="10"/>
  <c r="AR45" i="10"/>
  <c r="AC45" i="10"/>
  <c r="S45" i="10"/>
  <c r="BN45" i="10"/>
  <c r="BB45" i="10"/>
  <c r="AX45" i="10"/>
  <c r="AS45" i="10"/>
  <c r="AM45" i="10"/>
  <c r="AI45" i="10"/>
  <c r="AD45" i="10"/>
  <c r="X45" i="10"/>
  <c r="T45" i="10"/>
  <c r="BT45" i="10"/>
  <c r="BR45" i="10"/>
  <c r="BM45" i="10"/>
  <c r="BA45" i="10"/>
  <c r="AV45" i="10"/>
  <c r="AL45" i="10"/>
  <c r="AH45" i="10"/>
  <c r="W45" i="10"/>
  <c r="AB45" i="10"/>
  <c r="AU45" i="10"/>
  <c r="AF45" i="10"/>
  <c r="Z64" i="10"/>
  <c r="BD64" i="10"/>
  <c r="AZ64" i="10"/>
  <c r="AU64" i="10"/>
  <c r="AQ64" i="10"/>
  <c r="AL64" i="10"/>
  <c r="AH64" i="10"/>
  <c r="AC64" i="10"/>
  <c r="W64" i="10"/>
  <c r="S64" i="10"/>
  <c r="BB64" i="10"/>
  <c r="AV64" i="10"/>
  <c r="AP64" i="10"/>
  <c r="AJ64" i="10"/>
  <c r="AD64" i="10"/>
  <c r="V64" i="10"/>
  <c r="BU64" i="10"/>
  <c r="AM64" i="10"/>
  <c r="T64" i="10"/>
  <c r="BA64" i="10"/>
  <c r="AT64" i="10"/>
  <c r="AN64" i="10"/>
  <c r="AI64" i="10"/>
  <c r="AB64" i="10"/>
  <c r="U64" i="10"/>
  <c r="BT64" i="10"/>
  <c r="AY64" i="10"/>
  <c r="AS64" i="10"/>
  <c r="AF64" i="10"/>
  <c r="AA64" i="10"/>
  <c r="BC64" i="10"/>
  <c r="R45" i="10"/>
  <c r="AK45" i="10"/>
  <c r="BD45" i="10"/>
  <c r="AK64" i="10"/>
  <c r="BG73" i="10"/>
  <c r="BK73" i="10"/>
  <c r="Z73" i="10"/>
  <c r="BH73" i="10"/>
  <c r="BI73" i="10"/>
  <c r="BF73" i="10"/>
  <c r="BJ73" i="10"/>
  <c r="BR73" i="10"/>
  <c r="BN73" i="10"/>
  <c r="BB73" i="10"/>
  <c r="AX73" i="10"/>
  <c r="AS73" i="10"/>
  <c r="AN73" i="10"/>
  <c r="AJ73" i="10"/>
  <c r="AE73" i="10"/>
  <c r="AA73" i="10"/>
  <c r="U73" i="10"/>
  <c r="BU73" i="10"/>
  <c r="BP73" i="10"/>
  <c r="BC73" i="10"/>
  <c r="AV73" i="10"/>
  <c r="AQ73" i="10"/>
  <c r="AK73" i="10"/>
  <c r="AD73" i="10"/>
  <c r="W73" i="10"/>
  <c r="R73" i="10"/>
  <c r="BM73" i="10"/>
  <c r="AT73" i="10"/>
  <c r="AM73" i="10"/>
  <c r="AB73" i="10"/>
  <c r="T73" i="10"/>
  <c r="BO73" i="10"/>
  <c r="BA73" i="10"/>
  <c r="AU73" i="10"/>
  <c r="AP73" i="10"/>
  <c r="AI73" i="10"/>
  <c r="AC73" i="10"/>
  <c r="V73" i="10"/>
  <c r="BT73" i="10"/>
  <c r="AZ73" i="10"/>
  <c r="AH73" i="10"/>
  <c r="AF73" i="10"/>
  <c r="BD73" i="10"/>
  <c r="BI78" i="10"/>
  <c r="BK78" i="10"/>
  <c r="Z78" i="10"/>
  <c r="BF78" i="10"/>
  <c r="BJ78" i="10"/>
  <c r="BG78" i="10"/>
  <c r="BH78" i="10"/>
  <c r="BR78" i="10"/>
  <c r="BM78" i="10"/>
  <c r="BA78" i="10"/>
  <c r="AV78" i="10"/>
  <c r="AQ78" i="10"/>
  <c r="AL78" i="10"/>
  <c r="AF78" i="10"/>
  <c r="AB78" i="10"/>
  <c r="V78" i="10"/>
  <c r="BQ78" i="10"/>
  <c r="BD78" i="10"/>
  <c r="AZ78" i="10"/>
  <c r="AU78" i="10"/>
  <c r="AP78" i="10"/>
  <c r="AJ78" i="10"/>
  <c r="AE78" i="10"/>
  <c r="AA78" i="10"/>
  <c r="T78" i="10"/>
  <c r="BN78" i="10"/>
  <c r="AX78" i="10"/>
  <c r="AM78" i="10"/>
  <c r="AC78" i="10"/>
  <c r="R78" i="10"/>
  <c r="BC78" i="10"/>
  <c r="AT78" i="10"/>
  <c r="AI78" i="10"/>
  <c r="X78" i="10"/>
  <c r="AR78" i="10"/>
  <c r="W78" i="10"/>
  <c r="BB78" i="10"/>
  <c r="BP78" i="10"/>
  <c r="AN78" i="10"/>
  <c r="S78" i="10"/>
  <c r="AH78" i="10"/>
  <c r="AZ45" i="10"/>
  <c r="AE64" i="10"/>
  <c r="BH42" i="10"/>
  <c r="BF42" i="10"/>
  <c r="BI42" i="10"/>
  <c r="BJ42" i="10"/>
  <c r="BG42" i="10"/>
  <c r="BK42" i="10"/>
  <c r="Z42" i="10"/>
  <c r="BR42" i="10"/>
  <c r="BN42" i="10"/>
  <c r="BB42" i="10"/>
  <c r="AX42" i="10"/>
  <c r="AS42" i="10"/>
  <c r="AN42" i="10"/>
  <c r="AJ42" i="10"/>
  <c r="AE42" i="10"/>
  <c r="AA42" i="10"/>
  <c r="U42" i="10"/>
  <c r="BD42" i="10"/>
  <c r="AU42" i="10"/>
  <c r="AL42" i="10"/>
  <c r="AC42" i="10"/>
  <c r="S42" i="10"/>
  <c r="BQ42" i="10"/>
  <c r="BM42" i="10"/>
  <c r="BA42" i="10"/>
  <c r="AV42" i="10"/>
  <c r="AR42" i="10"/>
  <c r="AM42" i="10"/>
  <c r="AI42" i="10"/>
  <c r="AD42" i="10"/>
  <c r="X42" i="10"/>
  <c r="T42" i="10"/>
  <c r="BT42" i="10"/>
  <c r="BP42" i="10"/>
  <c r="AZ42" i="10"/>
  <c r="AQ42" i="10"/>
  <c r="AH42" i="10"/>
  <c r="W42" i="10"/>
  <c r="AB42" i="10"/>
  <c r="AT42" i="10"/>
  <c r="Z43" i="10"/>
  <c r="BF43" i="10"/>
  <c r="BK43" i="10"/>
  <c r="BI43" i="10"/>
  <c r="BG43" i="10"/>
  <c r="BJ43" i="10"/>
  <c r="BO43" i="10"/>
  <c r="BC43" i="10"/>
  <c r="AY43" i="10"/>
  <c r="AT43" i="10"/>
  <c r="AP43" i="10"/>
  <c r="AK43" i="10"/>
  <c r="AF43" i="10"/>
  <c r="AA43" i="10"/>
  <c r="U43" i="10"/>
  <c r="BQ43" i="10"/>
  <c r="BM43" i="10"/>
  <c r="BA43" i="10"/>
  <c r="AR43" i="10"/>
  <c r="AM43" i="10"/>
  <c r="AD43" i="10"/>
  <c r="S43" i="10"/>
  <c r="BR43" i="10"/>
  <c r="BN43" i="10"/>
  <c r="BB43" i="10"/>
  <c r="AX43" i="10"/>
  <c r="AS43" i="10"/>
  <c r="AN43" i="10"/>
  <c r="AJ43" i="10"/>
  <c r="AE43" i="10"/>
  <c r="X43" i="10"/>
  <c r="T43" i="10"/>
  <c r="BT43" i="10"/>
  <c r="AV43" i="10"/>
  <c r="AI43" i="10"/>
  <c r="W43" i="10"/>
  <c r="AB43" i="10"/>
  <c r="AU43" i="10"/>
  <c r="V45" i="10"/>
  <c r="AQ45" i="10"/>
  <c r="BP45" i="10"/>
  <c r="BH55" i="10"/>
  <c r="BJ55" i="10"/>
  <c r="BI55" i="10"/>
  <c r="BF55" i="10"/>
  <c r="BG55" i="10"/>
  <c r="Z55" i="10"/>
  <c r="BK55" i="10"/>
  <c r="BR55" i="10"/>
  <c r="BB55" i="10"/>
  <c r="AX55" i="10"/>
  <c r="AS55" i="10"/>
  <c r="AN55" i="10"/>
  <c r="AE55" i="10"/>
  <c r="AA55" i="10"/>
  <c r="U55" i="10"/>
  <c r="BU55" i="10"/>
  <c r="BP55" i="10"/>
  <c r="BC55" i="10"/>
  <c r="AV55" i="10"/>
  <c r="AQ55" i="10"/>
  <c r="AK55" i="10"/>
  <c r="AD55" i="10"/>
  <c r="W55" i="10"/>
  <c r="R55" i="10"/>
  <c r="AH55" i="10"/>
  <c r="T55" i="10"/>
  <c r="BO55" i="10"/>
  <c r="BA55" i="10"/>
  <c r="AU55" i="10"/>
  <c r="AP55" i="10"/>
  <c r="AI55" i="10"/>
  <c r="AC55" i="10"/>
  <c r="V55" i="10"/>
  <c r="BT55" i="10"/>
  <c r="BM55" i="10"/>
  <c r="AT55" i="10"/>
  <c r="AM55" i="10"/>
  <c r="AB55" i="10"/>
  <c r="AF55" i="10"/>
  <c r="BD55" i="10"/>
  <c r="R64" i="10"/>
  <c r="AR64" i="10"/>
  <c r="AL73" i="10"/>
  <c r="BQ73" i="10"/>
  <c r="AY78" i="10"/>
  <c r="R41" i="10"/>
  <c r="AB41" i="10"/>
  <c r="AK41" i="10"/>
  <c r="AT41" i="10"/>
  <c r="BC41" i="10"/>
  <c r="R46" i="10"/>
  <c r="AB46" i="10"/>
  <c r="AL46" i="10"/>
  <c r="AU46" i="10"/>
  <c r="BQ46" i="10"/>
  <c r="BI66" i="10"/>
  <c r="BK66" i="10"/>
  <c r="Z66" i="10"/>
  <c r="BF66" i="10"/>
  <c r="BJ66" i="10"/>
  <c r="BG66" i="10"/>
  <c r="BH66" i="10"/>
  <c r="BP66" i="10"/>
  <c r="BD66" i="10"/>
  <c r="AZ66" i="10"/>
  <c r="AU66" i="10"/>
  <c r="AQ66" i="10"/>
  <c r="AL66" i="10"/>
  <c r="AH66" i="10"/>
  <c r="AC66" i="10"/>
  <c r="W66" i="10"/>
  <c r="S66" i="10"/>
  <c r="R66" i="10"/>
  <c r="AE66" i="10"/>
  <c r="AR66" i="10"/>
  <c r="BC66" i="10"/>
  <c r="S41" i="10"/>
  <c r="W41" i="10"/>
  <c r="AC41" i="10"/>
  <c r="AH41" i="10"/>
  <c r="AL41" i="10"/>
  <c r="AQ41" i="10"/>
  <c r="AU41" i="10"/>
  <c r="AZ41" i="10"/>
  <c r="BD41" i="10"/>
  <c r="BI44" i="10"/>
  <c r="BK44" i="10"/>
  <c r="Z44" i="10"/>
  <c r="BF44" i="10"/>
  <c r="BJ44" i="10"/>
  <c r="BG44" i="10"/>
  <c r="BH44" i="10"/>
  <c r="R44" i="10"/>
  <c r="V44" i="10"/>
  <c r="AB44" i="10"/>
  <c r="AF44" i="10"/>
  <c r="AK44" i="10"/>
  <c r="AP44" i="10"/>
  <c r="AT44" i="10"/>
  <c r="AY44" i="10"/>
  <c r="BC44" i="10"/>
  <c r="BO44" i="10"/>
  <c r="BJ45" i="10"/>
  <c r="S46" i="10"/>
  <c r="W46" i="10"/>
  <c r="AC46" i="10"/>
  <c r="AH46" i="10"/>
  <c r="AM46" i="10"/>
  <c r="AR46" i="10"/>
  <c r="AV46" i="10"/>
  <c r="BA46" i="10"/>
  <c r="BM46" i="10"/>
  <c r="Z48" i="10"/>
  <c r="BH48" i="10"/>
  <c r="BJ48" i="10"/>
  <c r="BI48" i="10"/>
  <c r="BF48" i="10"/>
  <c r="BK48" i="10"/>
  <c r="BG48" i="10"/>
  <c r="BN48" i="10"/>
  <c r="R48" i="10"/>
  <c r="V48" i="10"/>
  <c r="AB48" i="10"/>
  <c r="AF48" i="10"/>
  <c r="AL48" i="10"/>
  <c r="AQ48" i="10"/>
  <c r="AU48" i="10"/>
  <c r="AZ48" i="10"/>
  <c r="BD48" i="10"/>
  <c r="BR48" i="10"/>
  <c r="BQ49" i="10"/>
  <c r="BF49" i="10"/>
  <c r="BJ49" i="10"/>
  <c r="Z49" i="10"/>
  <c r="BG49" i="10"/>
  <c r="BK49" i="10"/>
  <c r="BH49" i="10"/>
  <c r="BI49" i="10"/>
  <c r="AZ49" i="10"/>
  <c r="AM49" i="10"/>
  <c r="X49" i="10"/>
  <c r="U49" i="10"/>
  <c r="AQ49" i="10"/>
  <c r="BO49" i="10"/>
  <c r="BQ53" i="10"/>
  <c r="BG53" i="10"/>
  <c r="BK53" i="10"/>
  <c r="Z53" i="10"/>
  <c r="BH53" i="10"/>
  <c r="BI53" i="10"/>
  <c r="BF53" i="10"/>
  <c r="BJ53" i="10"/>
  <c r="BU53" i="10"/>
  <c r="T66" i="10"/>
  <c r="AA66" i="10"/>
  <c r="AF66" i="10"/>
  <c r="AM66" i="10"/>
  <c r="AS66" i="10"/>
  <c r="AY66" i="10"/>
  <c r="BM66" i="10"/>
  <c r="BR66" i="10"/>
  <c r="BG67" i="10"/>
  <c r="BK67" i="10"/>
  <c r="Z67" i="10"/>
  <c r="BH67" i="10"/>
  <c r="BI67" i="10"/>
  <c r="BF67" i="10"/>
  <c r="BJ67" i="10"/>
  <c r="BQ67" i="10"/>
  <c r="BM67" i="10"/>
  <c r="BA67" i="10"/>
  <c r="AV67" i="10"/>
  <c r="AR67" i="10"/>
  <c r="AM67" i="10"/>
  <c r="AI67" i="10"/>
  <c r="AD67" i="10"/>
  <c r="X67" i="10"/>
  <c r="T67" i="10"/>
  <c r="BT67" i="10"/>
  <c r="S67" i="10"/>
  <c r="AA67" i="10"/>
  <c r="AF67" i="10"/>
  <c r="AL67" i="10"/>
  <c r="AS67" i="10"/>
  <c r="AY67" i="10"/>
  <c r="BD67" i="10"/>
  <c r="BR67" i="10"/>
  <c r="BI80" i="10"/>
  <c r="BG80" i="10"/>
  <c r="BF80" i="10"/>
  <c r="BJ80" i="10"/>
  <c r="BK80" i="10"/>
  <c r="Z80" i="10"/>
  <c r="BH80" i="10"/>
  <c r="BQ80" i="10"/>
  <c r="BM80" i="10"/>
  <c r="BA80" i="10"/>
  <c r="AV80" i="10"/>
  <c r="AR80" i="10"/>
  <c r="AM80" i="10"/>
  <c r="AI80" i="10"/>
  <c r="AD80" i="10"/>
  <c r="X80" i="10"/>
  <c r="T80" i="10"/>
  <c r="BT80" i="10"/>
  <c r="BP80" i="10"/>
  <c r="BD80" i="10"/>
  <c r="AZ80" i="10"/>
  <c r="AU80" i="10"/>
  <c r="AQ80" i="10"/>
  <c r="AL80" i="10"/>
  <c r="AH80" i="10"/>
  <c r="AC80" i="10"/>
  <c r="W80" i="10"/>
  <c r="S80" i="10"/>
  <c r="BC80" i="10"/>
  <c r="AT80" i="10"/>
  <c r="AK80" i="10"/>
  <c r="AB80" i="10"/>
  <c r="R80" i="10"/>
  <c r="BR80" i="10"/>
  <c r="BB80" i="10"/>
  <c r="AS80" i="10"/>
  <c r="AJ80" i="10"/>
  <c r="AA80" i="10"/>
  <c r="BU80" i="10"/>
  <c r="AE80" i="10"/>
  <c r="AX80" i="10"/>
  <c r="BF41" i="10"/>
  <c r="BJ41" i="10"/>
  <c r="BG41" i="10"/>
  <c r="BK41" i="10"/>
  <c r="Z41" i="10"/>
  <c r="BH41" i="10"/>
  <c r="BI41" i="10"/>
  <c r="V41" i="10"/>
  <c r="AF41" i="10"/>
  <c r="AP41" i="10"/>
  <c r="AY41" i="10"/>
  <c r="BO41" i="10"/>
  <c r="BF46" i="10"/>
  <c r="BJ46" i="10"/>
  <c r="BH46" i="10"/>
  <c r="BG46" i="10"/>
  <c r="BK46" i="10"/>
  <c r="Z46" i="10"/>
  <c r="BI46" i="10"/>
  <c r="V46" i="10"/>
  <c r="AF46" i="10"/>
  <c r="AQ46" i="10"/>
  <c r="AZ46" i="10"/>
  <c r="BD46" i="10"/>
  <c r="BR52" i="10"/>
  <c r="Z52" i="10"/>
  <c r="BI52" i="10"/>
  <c r="BK52" i="10"/>
  <c r="BF52" i="10"/>
  <c r="BJ52" i="10"/>
  <c r="BG52" i="10"/>
  <c r="BH52" i="10"/>
  <c r="X66" i="10"/>
  <c r="AK66" i="10"/>
  <c r="AX66" i="10"/>
  <c r="BQ66" i="10"/>
  <c r="BT41" i="10"/>
  <c r="T41" i="10"/>
  <c r="X41" i="10"/>
  <c r="AD41" i="10"/>
  <c r="AI41" i="10"/>
  <c r="AM41" i="10"/>
  <c r="AR41" i="10"/>
  <c r="AV41" i="10"/>
  <c r="BA41" i="10"/>
  <c r="BM41" i="10"/>
  <c r="BQ41" i="10"/>
  <c r="S44" i="10"/>
  <c r="W44" i="10"/>
  <c r="AC44" i="10"/>
  <c r="AH44" i="10"/>
  <c r="AL44" i="10"/>
  <c r="AQ44" i="10"/>
  <c r="AU44" i="10"/>
  <c r="AZ44" i="10"/>
  <c r="BD44" i="10"/>
  <c r="BP44" i="10"/>
  <c r="AN45" i="10"/>
  <c r="BO46" i="10"/>
  <c r="BT46" i="10"/>
  <c r="T46" i="10"/>
  <c r="X46" i="10"/>
  <c r="AD46" i="10"/>
  <c r="AI46" i="10"/>
  <c r="AN46" i="10"/>
  <c r="AS46" i="10"/>
  <c r="AX46" i="10"/>
  <c r="BB46" i="10"/>
  <c r="BN46" i="10"/>
  <c r="S48" i="10"/>
  <c r="W48" i="10"/>
  <c r="AC48" i="10"/>
  <c r="AH48" i="10"/>
  <c r="AM48" i="10"/>
  <c r="AR48" i="10"/>
  <c r="AV48" i="10"/>
  <c r="BA48" i="10"/>
  <c r="BM48" i="10"/>
  <c r="AD49" i="10"/>
  <c r="AR49" i="10"/>
  <c r="BR49" i="10"/>
  <c r="BQ50" i="10"/>
  <c r="BH50" i="10"/>
  <c r="BF50" i="10"/>
  <c r="BI50" i="10"/>
  <c r="Z50" i="10"/>
  <c r="BJ50" i="10"/>
  <c r="BG50" i="10"/>
  <c r="BK50" i="10"/>
  <c r="Z60" i="10"/>
  <c r="BH60" i="10"/>
  <c r="BF60" i="10"/>
  <c r="BJ60" i="10"/>
  <c r="BI60" i="10"/>
  <c r="BK60" i="10"/>
  <c r="BG60" i="10"/>
  <c r="BP60" i="10"/>
  <c r="BD60" i="10"/>
  <c r="AZ60" i="10"/>
  <c r="AU60" i="10"/>
  <c r="AQ60" i="10"/>
  <c r="AL60" i="10"/>
  <c r="AH60" i="10"/>
  <c r="AC60" i="10"/>
  <c r="W60" i="10"/>
  <c r="S60" i="10"/>
  <c r="R60" i="10"/>
  <c r="X60" i="10"/>
  <c r="AE60" i="10"/>
  <c r="AK60" i="10"/>
  <c r="AR60" i="10"/>
  <c r="AX60" i="10"/>
  <c r="BC60" i="10"/>
  <c r="BQ60" i="10"/>
  <c r="BF62" i="10"/>
  <c r="BK62" i="10"/>
  <c r="Z62" i="10"/>
  <c r="BG62" i="10"/>
  <c r="BI62" i="10"/>
  <c r="BJ62" i="10"/>
  <c r="BP62" i="10"/>
  <c r="BC62" i="10"/>
  <c r="AY62" i="10"/>
  <c r="AT62" i="10"/>
  <c r="AN62" i="10"/>
  <c r="AI62" i="10"/>
  <c r="AD62" i="10"/>
  <c r="W62" i="10"/>
  <c r="R62" i="10"/>
  <c r="T62" i="10"/>
  <c r="AB62" i="10"/>
  <c r="AJ62" i="10"/>
  <c r="AQ62" i="10"/>
  <c r="AX62" i="10"/>
  <c r="BD62" i="10"/>
  <c r="BR62" i="10"/>
  <c r="BO63" i="10"/>
  <c r="BI63" i="10"/>
  <c r="BG63" i="10"/>
  <c r="BF63" i="10"/>
  <c r="BJ63" i="10"/>
  <c r="Z63" i="10"/>
  <c r="BK63" i="10"/>
  <c r="BH63" i="10"/>
  <c r="BT66" i="10"/>
  <c r="U66" i="10"/>
  <c r="AB66" i="10"/>
  <c r="AI66" i="10"/>
  <c r="AN66" i="10"/>
  <c r="AT66" i="10"/>
  <c r="BA66" i="10"/>
  <c r="BN66" i="10"/>
  <c r="U67" i="10"/>
  <c r="AB67" i="10"/>
  <c r="AH67" i="10"/>
  <c r="AN67" i="10"/>
  <c r="AT67" i="10"/>
  <c r="AZ67" i="10"/>
  <c r="BN67" i="10"/>
  <c r="Z77" i="10"/>
  <c r="BG77" i="10"/>
  <c r="BK77" i="10"/>
  <c r="BI77" i="10"/>
  <c r="BH77" i="10"/>
  <c r="BF77" i="10"/>
  <c r="BJ77" i="10"/>
  <c r="BQ77" i="10"/>
  <c r="BM77" i="10"/>
  <c r="BA77" i="10"/>
  <c r="AV77" i="10"/>
  <c r="AR77" i="10"/>
  <c r="AM77" i="10"/>
  <c r="AI77" i="10"/>
  <c r="AD77" i="10"/>
  <c r="X77" i="10"/>
  <c r="BP77" i="10"/>
  <c r="BD77" i="10"/>
  <c r="AZ77" i="10"/>
  <c r="AU77" i="10"/>
  <c r="AQ77" i="10"/>
  <c r="AL77" i="10"/>
  <c r="AH77" i="10"/>
  <c r="AC77" i="10"/>
  <c r="W77" i="10"/>
  <c r="S77" i="10"/>
  <c r="BO77" i="10"/>
  <c r="AY77" i="10"/>
  <c r="AP77" i="10"/>
  <c r="AF77" i="10"/>
  <c r="V77" i="10"/>
  <c r="BN77" i="10"/>
  <c r="AX77" i="10"/>
  <c r="AN77" i="10"/>
  <c r="AE77" i="10"/>
  <c r="U77" i="10"/>
  <c r="BT77" i="10"/>
  <c r="AA77" i="10"/>
  <c r="AS77" i="10"/>
  <c r="BR77" i="10"/>
  <c r="AF80" i="10"/>
  <c r="AY80" i="10"/>
  <c r="S75" i="10"/>
  <c r="X75" i="10"/>
  <c r="AD75" i="10"/>
  <c r="AJ75" i="10"/>
  <c r="AP75" i="10"/>
  <c r="AT75" i="10"/>
  <c r="AZ75" i="10"/>
  <c r="BM75" i="10"/>
  <c r="Z81" i="10"/>
  <c r="BG81" i="10"/>
  <c r="BK81" i="10"/>
  <c r="BI81" i="10"/>
  <c r="BH81" i="10"/>
  <c r="BJ81" i="10"/>
  <c r="BF81" i="10"/>
  <c r="BR81" i="10"/>
  <c r="BN81" i="10"/>
  <c r="BB81" i="10"/>
  <c r="AX81" i="10"/>
  <c r="AS81" i="10"/>
  <c r="AN81" i="10"/>
  <c r="AJ81" i="10"/>
  <c r="AE81" i="10"/>
  <c r="AA81" i="10"/>
  <c r="U81" i="10"/>
  <c r="BU81" i="10"/>
  <c r="BQ81" i="10"/>
  <c r="BM81" i="10"/>
  <c r="BA81" i="10"/>
  <c r="AV81" i="10"/>
  <c r="AR81" i="10"/>
  <c r="AM81" i="10"/>
  <c r="AI81" i="10"/>
  <c r="AD81" i="10"/>
  <c r="X81" i="10"/>
  <c r="T81" i="10"/>
  <c r="BT81" i="10"/>
  <c r="V81" i="10"/>
  <c r="AF81" i="10"/>
  <c r="AP81" i="10"/>
  <c r="AY81" i="10"/>
  <c r="BO81" i="10"/>
  <c r="BR51" i="10"/>
  <c r="BF51" i="10"/>
  <c r="BK51" i="10"/>
  <c r="BH51" i="10"/>
  <c r="BG51" i="10"/>
  <c r="BI51" i="10"/>
  <c r="Z51" i="10"/>
  <c r="BI54" i="10"/>
  <c r="Z54" i="10"/>
  <c r="BG54" i="10"/>
  <c r="BF54" i="10"/>
  <c r="BJ54" i="10"/>
  <c r="BH54" i="10"/>
  <c r="Z56" i="10"/>
  <c r="BF56" i="10"/>
  <c r="BJ56" i="10"/>
  <c r="BG56" i="10"/>
  <c r="BK56" i="10"/>
  <c r="BH56" i="10"/>
  <c r="BI56" i="10"/>
  <c r="R56" i="10"/>
  <c r="V56" i="10"/>
  <c r="AB56" i="10"/>
  <c r="AF56" i="10"/>
  <c r="AK56" i="10"/>
  <c r="AP56" i="10"/>
  <c r="AT56" i="10"/>
  <c r="AY56" i="10"/>
  <c r="BC56" i="10"/>
  <c r="BO56" i="10"/>
  <c r="BF59" i="10"/>
  <c r="BJ59" i="10"/>
  <c r="BG59" i="10"/>
  <c r="BK59" i="10"/>
  <c r="BH59" i="10"/>
  <c r="Z59" i="10"/>
  <c r="BI59" i="10"/>
  <c r="R59" i="10"/>
  <c r="V59" i="10"/>
  <c r="AB59" i="10"/>
  <c r="AF59" i="10"/>
  <c r="AK59" i="10"/>
  <c r="AP59" i="10"/>
  <c r="AT59" i="10"/>
  <c r="AY59" i="10"/>
  <c r="BC59" i="10"/>
  <c r="BO59" i="10"/>
  <c r="Z65" i="10"/>
  <c r="BG65" i="10"/>
  <c r="BK65" i="10"/>
  <c r="BI65" i="10"/>
  <c r="BH65" i="10"/>
  <c r="BJ65" i="10"/>
  <c r="BF65" i="10"/>
  <c r="R65" i="10"/>
  <c r="V65" i="10"/>
  <c r="AB65" i="10"/>
  <c r="AF65" i="10"/>
  <c r="AK65" i="10"/>
  <c r="AP65" i="10"/>
  <c r="AT65" i="10"/>
  <c r="AY65" i="10"/>
  <c r="BC65" i="10"/>
  <c r="BO65" i="10"/>
  <c r="BI68" i="10"/>
  <c r="BG68" i="10"/>
  <c r="BF68" i="10"/>
  <c r="BK68" i="10"/>
  <c r="BH68" i="10"/>
  <c r="Z68" i="10"/>
  <c r="S68" i="10"/>
  <c r="W68" i="10"/>
  <c r="AC68" i="10"/>
  <c r="AI68" i="10"/>
  <c r="AN68" i="10"/>
  <c r="AS68" i="10"/>
  <c r="AY68" i="10"/>
  <c r="BD68" i="10"/>
  <c r="BP68" i="10"/>
  <c r="Z69" i="10"/>
  <c r="BI69" i="10"/>
  <c r="BK69" i="10"/>
  <c r="BJ69" i="10"/>
  <c r="BF69" i="10"/>
  <c r="BG69" i="10"/>
  <c r="S69" i="10"/>
  <c r="W69" i="10"/>
  <c r="AC69" i="10"/>
  <c r="AI69" i="10"/>
  <c r="AN69" i="10"/>
  <c r="AS69" i="10"/>
  <c r="AY69" i="10"/>
  <c r="BD69" i="10"/>
  <c r="BQ69" i="10"/>
  <c r="BI74" i="10"/>
  <c r="BG74" i="10"/>
  <c r="BF74" i="10"/>
  <c r="BJ74" i="10"/>
  <c r="Z74" i="10"/>
  <c r="BK74" i="10"/>
  <c r="BH74" i="10"/>
  <c r="R74" i="10"/>
  <c r="V74" i="10"/>
  <c r="AB74" i="10"/>
  <c r="AF74" i="10"/>
  <c r="AK74" i="10"/>
  <c r="AP74" i="10"/>
  <c r="AT74" i="10"/>
  <c r="AY74" i="10"/>
  <c r="BC74" i="10"/>
  <c r="BO74" i="10"/>
  <c r="BJ75" i="10"/>
  <c r="T75" i="10"/>
  <c r="AA75" i="10"/>
  <c r="AF75" i="10"/>
  <c r="AK75" i="10"/>
  <c r="AQ75" i="10"/>
  <c r="AV75" i="10"/>
  <c r="BA75" i="10"/>
  <c r="BO75" i="10"/>
  <c r="W81" i="10"/>
  <c r="AH81" i="10"/>
  <c r="AQ81" i="10"/>
  <c r="AZ81" i="10"/>
  <c r="BP81" i="10"/>
  <c r="AK78" i="10"/>
  <c r="R79" i="10"/>
  <c r="W79" i="10"/>
  <c r="AC79" i="10"/>
  <c r="AH79" i="10"/>
  <c r="AM79" i="10"/>
  <c r="AR79" i="10"/>
  <c r="AX79" i="10"/>
  <c r="BB79" i="10"/>
  <c r="BU82" i="10"/>
  <c r="U82" i="10"/>
  <c r="AA82" i="10"/>
  <c r="AE82" i="10"/>
  <c r="AJ82" i="10"/>
  <c r="AN82" i="10"/>
  <c r="AS82" i="10"/>
  <c r="AX82" i="10"/>
  <c r="BB82" i="10"/>
  <c r="BN82" i="10"/>
  <c r="BG84" i="10"/>
  <c r="BK84" i="10"/>
  <c r="BH84" i="10"/>
  <c r="BI84" i="10"/>
  <c r="BF84" i="10"/>
  <c r="R84" i="10"/>
  <c r="V84" i="10"/>
  <c r="AB84" i="10"/>
  <c r="AF84" i="10"/>
  <c r="AK84" i="10"/>
  <c r="AP84" i="10"/>
  <c r="AT84" i="10"/>
  <c r="AY84" i="10"/>
  <c r="BC84" i="10"/>
  <c r="BO84" i="10"/>
  <c r="R75" i="51"/>
  <c r="W75" i="51" s="1"/>
  <c r="AS78" i="10"/>
  <c r="BG79" i="10"/>
  <c r="BK79" i="10"/>
  <c r="Z79" i="10"/>
  <c r="BH79" i="10"/>
  <c r="BI79" i="10"/>
  <c r="BF79" i="10"/>
  <c r="BJ79" i="10"/>
  <c r="S79" i="10"/>
  <c r="X79" i="10"/>
  <c r="AD79" i="10"/>
  <c r="AI79" i="10"/>
  <c r="AN79" i="10"/>
  <c r="AT79" i="10"/>
  <c r="AY79" i="10"/>
  <c r="BC79" i="10"/>
  <c r="BP79" i="10"/>
  <c r="BI82" i="10"/>
  <c r="BK82" i="10"/>
  <c r="Z82" i="10"/>
  <c r="BF82" i="10"/>
  <c r="BJ82" i="10"/>
  <c r="BG82" i="10"/>
  <c r="BH82" i="10"/>
  <c r="R82" i="10"/>
  <c r="V82" i="10"/>
  <c r="AB82" i="10"/>
  <c r="AF82" i="10"/>
  <c r="AK82" i="10"/>
  <c r="AP82" i="10"/>
  <c r="AT82" i="10"/>
  <c r="AY82" i="10"/>
  <c r="BC82" i="10"/>
  <c r="BO82" i="10"/>
  <c r="S84" i="10"/>
  <c r="W84" i="10"/>
  <c r="AC84" i="10"/>
  <c r="AL84" i="10"/>
  <c r="AQ84" i="10"/>
  <c r="AU84" i="10"/>
  <c r="AZ84" i="10"/>
  <c r="BD84" i="10"/>
  <c r="BP84" i="10"/>
  <c r="BT40" i="10"/>
  <c r="T40" i="10"/>
  <c r="X40" i="10"/>
  <c r="AD40" i="10"/>
  <c r="AI40" i="10"/>
  <c r="AM40" i="10"/>
  <c r="AR40" i="10"/>
  <c r="AV40" i="10"/>
  <c r="BA40" i="10"/>
  <c r="BM40" i="10"/>
  <c r="BI40" i="10"/>
  <c r="BG40" i="10"/>
  <c r="BH40" i="10"/>
  <c r="BF40" i="10"/>
  <c r="BJ40" i="10"/>
  <c r="Z40" i="10"/>
  <c r="BK40" i="10"/>
  <c r="R40" i="10"/>
  <c r="V40" i="10"/>
  <c r="AB40" i="10"/>
  <c r="AF40" i="10"/>
  <c r="AK40" i="10"/>
  <c r="AP40" i="10"/>
  <c r="AT40" i="10"/>
  <c r="AY40" i="10"/>
  <c r="BC40" i="10"/>
  <c r="BO40" i="10"/>
  <c r="Z10" i="10"/>
  <c r="BF10" i="10"/>
  <c r="BJ10" i="10"/>
  <c r="BI10" i="10"/>
  <c r="BG10" i="10"/>
  <c r="BK10" i="10"/>
  <c r="BH10" i="10"/>
  <c r="BP10" i="10"/>
  <c r="BD10" i="10"/>
  <c r="AZ10" i="10"/>
  <c r="AU10" i="10"/>
  <c r="AQ10" i="10"/>
  <c r="AL10" i="10"/>
  <c r="AH10" i="10"/>
  <c r="AC10" i="10"/>
  <c r="W10" i="10"/>
  <c r="S10" i="10"/>
  <c r="X10" i="10"/>
  <c r="AX10" i="10"/>
  <c r="BH9" i="10"/>
  <c r="BJ9" i="10"/>
  <c r="Z9" i="10"/>
  <c r="BG9" i="10"/>
  <c r="BI9" i="10"/>
  <c r="BF9" i="10"/>
  <c r="BK9" i="10"/>
  <c r="BO9" i="10"/>
  <c r="BC9" i="10"/>
  <c r="AY9" i="10"/>
  <c r="AT9" i="10"/>
  <c r="AP9" i="10"/>
  <c r="AK9" i="10"/>
  <c r="AF9" i="10"/>
  <c r="AB9" i="10"/>
  <c r="V9" i="10"/>
  <c r="AN9" i="10"/>
  <c r="BN9" i="10"/>
  <c r="AA10" i="10"/>
  <c r="BH11" i="10"/>
  <c r="BF11" i="10"/>
  <c r="BK11" i="10"/>
  <c r="Z11" i="10"/>
  <c r="BI11" i="10"/>
  <c r="BJ11" i="10"/>
  <c r="BG11" i="10"/>
  <c r="BQ11" i="10"/>
  <c r="BM11" i="10"/>
  <c r="BA11" i="10"/>
  <c r="AV11" i="10"/>
  <c r="AR11" i="10"/>
  <c r="AM11" i="10"/>
  <c r="AI11" i="10"/>
  <c r="AD11" i="10"/>
  <c r="X11" i="10"/>
  <c r="T11" i="10"/>
  <c r="BT11" i="10"/>
  <c r="S11" i="10"/>
  <c r="AF11" i="10"/>
  <c r="AL11" i="10"/>
  <c r="AY11" i="10"/>
  <c r="BD11" i="10"/>
  <c r="BR11" i="10"/>
  <c r="S12" i="10"/>
  <c r="AR12" i="10"/>
  <c r="BF8" i="10"/>
  <c r="BJ8" i="10"/>
  <c r="Z8" i="10"/>
  <c r="BH8" i="10"/>
  <c r="BG8" i="10"/>
  <c r="BK8" i="10"/>
  <c r="BI8" i="10"/>
  <c r="R8" i="10"/>
  <c r="V8" i="10"/>
  <c r="AB8" i="10"/>
  <c r="AF8" i="10"/>
  <c r="AK8" i="10"/>
  <c r="AP8" i="10"/>
  <c r="AT8" i="10"/>
  <c r="AY8" i="10"/>
  <c r="BC8" i="10"/>
  <c r="BO8" i="10"/>
  <c r="S9" i="10"/>
  <c r="W9" i="10"/>
  <c r="AD9" i="10"/>
  <c r="AJ9" i="10"/>
  <c r="AQ9" i="10"/>
  <c r="AV9" i="10"/>
  <c r="BB9" i="10"/>
  <c r="BP9" i="10"/>
  <c r="BT10" i="10"/>
  <c r="U10" i="10"/>
  <c r="AB10" i="10"/>
  <c r="AI10" i="10"/>
  <c r="AN10" i="10"/>
  <c r="AT10" i="10"/>
  <c r="BA10" i="10"/>
  <c r="BN10" i="10"/>
  <c r="U11" i="10"/>
  <c r="AB11" i="10"/>
  <c r="AH11" i="10"/>
  <c r="AN11" i="10"/>
  <c r="AT11" i="10"/>
  <c r="AZ11" i="10"/>
  <c r="BN11" i="10"/>
  <c r="T12" i="10"/>
  <c r="AB12" i="10"/>
  <c r="AK12" i="10"/>
  <c r="AT12" i="10"/>
  <c r="AB14" i="10"/>
  <c r="AK14" i="10"/>
  <c r="AT14" i="10"/>
  <c r="AB16" i="10"/>
  <c r="AK16" i="10"/>
  <c r="AT16" i="10"/>
  <c r="R10" i="10"/>
  <c r="AE10" i="10"/>
  <c r="AK10" i="10"/>
  <c r="AR10" i="10"/>
  <c r="BC10" i="10"/>
  <c r="BQ10" i="10"/>
  <c r="R9" i="10"/>
  <c r="AC9" i="10"/>
  <c r="AI9" i="10"/>
  <c r="AU9" i="10"/>
  <c r="BA9" i="10"/>
  <c r="T10" i="10"/>
  <c r="AF10" i="10"/>
  <c r="AM10" i="10"/>
  <c r="AS10" i="10"/>
  <c r="AY10" i="10"/>
  <c r="BM10" i="10"/>
  <c r="BR10" i="10"/>
  <c r="AA11" i="10"/>
  <c r="AS11" i="10"/>
  <c r="BF12" i="10"/>
  <c r="BJ12" i="10"/>
  <c r="BH12" i="10"/>
  <c r="BG12" i="10"/>
  <c r="BK12" i="10"/>
  <c r="Z12" i="10"/>
  <c r="BI12" i="10"/>
  <c r="BR12" i="10"/>
  <c r="BN12" i="10"/>
  <c r="BB12" i="10"/>
  <c r="AX12" i="10"/>
  <c r="AS12" i="10"/>
  <c r="AN12" i="10"/>
  <c r="AJ12" i="10"/>
  <c r="AE12" i="10"/>
  <c r="AA12" i="10"/>
  <c r="U12" i="10"/>
  <c r="BU12" i="10"/>
  <c r="BP12" i="10"/>
  <c r="BD12" i="10"/>
  <c r="AZ12" i="10"/>
  <c r="AU12" i="10"/>
  <c r="AQ12" i="10"/>
  <c r="AL12" i="10"/>
  <c r="AH12" i="10"/>
  <c r="AC12" i="10"/>
  <c r="X12" i="10"/>
  <c r="AI12" i="10"/>
  <c r="BA12" i="10"/>
  <c r="BQ12" i="10"/>
  <c r="BT9" i="10"/>
  <c r="T9" i="10"/>
  <c r="X9" i="10"/>
  <c r="AE9" i="10"/>
  <c r="AL9" i="10"/>
  <c r="AR9" i="10"/>
  <c r="AX9" i="10"/>
  <c r="BD9" i="10"/>
  <c r="BQ9" i="10"/>
  <c r="BU10" i="10"/>
  <c r="V10" i="10"/>
  <c r="AD10" i="10"/>
  <c r="AJ10" i="10"/>
  <c r="AP10" i="10"/>
  <c r="AV10" i="10"/>
  <c r="BB10" i="10"/>
  <c r="BO10" i="10"/>
  <c r="BU11" i="10"/>
  <c r="V11" i="10"/>
  <c r="AC11" i="10"/>
  <c r="AJ11" i="10"/>
  <c r="AP11" i="10"/>
  <c r="AU11" i="10"/>
  <c r="BB11" i="10"/>
  <c r="BO11" i="10"/>
  <c r="BT12" i="10"/>
  <c r="V12" i="10"/>
  <c r="AD12" i="10"/>
  <c r="AM12" i="10"/>
  <c r="AV12" i="10"/>
  <c r="BM12" i="10"/>
  <c r="Z14" i="10"/>
  <c r="BF14" i="10"/>
  <c r="BJ14" i="10"/>
  <c r="BI14" i="10"/>
  <c r="BG14" i="10"/>
  <c r="BK14" i="10"/>
  <c r="BH14" i="10"/>
  <c r="BP14" i="10"/>
  <c r="BD14" i="10"/>
  <c r="AZ14" i="10"/>
  <c r="AU14" i="10"/>
  <c r="AQ14" i="10"/>
  <c r="AL14" i="10"/>
  <c r="AH14" i="10"/>
  <c r="AC14" i="10"/>
  <c r="W14" i="10"/>
  <c r="S14" i="10"/>
  <c r="BR14" i="10"/>
  <c r="BN14" i="10"/>
  <c r="BB14" i="10"/>
  <c r="AX14" i="10"/>
  <c r="AS14" i="10"/>
  <c r="AN14" i="10"/>
  <c r="AJ14" i="10"/>
  <c r="AE14" i="10"/>
  <c r="AA14" i="10"/>
  <c r="U14" i="10"/>
  <c r="BU14" i="10"/>
  <c r="T14" i="10"/>
  <c r="AD14" i="10"/>
  <c r="AM14" i="10"/>
  <c r="AV14" i="10"/>
  <c r="BM14" i="10"/>
  <c r="BF16" i="10"/>
  <c r="BJ16" i="10"/>
  <c r="Z16" i="10"/>
  <c r="BH16" i="10"/>
  <c r="BG16" i="10"/>
  <c r="BK16" i="10"/>
  <c r="BI16" i="10"/>
  <c r="BR16" i="10"/>
  <c r="BN16" i="10"/>
  <c r="BB16" i="10"/>
  <c r="AX16" i="10"/>
  <c r="AS16" i="10"/>
  <c r="AN16" i="10"/>
  <c r="AJ16" i="10"/>
  <c r="AE16" i="10"/>
  <c r="AA16" i="10"/>
  <c r="U16" i="10"/>
  <c r="BU16" i="10"/>
  <c r="BP16" i="10"/>
  <c r="BD16" i="10"/>
  <c r="AZ16" i="10"/>
  <c r="AU16" i="10"/>
  <c r="AQ16" i="10"/>
  <c r="AL16" i="10"/>
  <c r="AH16" i="10"/>
  <c r="AC16" i="10"/>
  <c r="W16" i="10"/>
  <c r="S16" i="10"/>
  <c r="T16" i="10"/>
  <c r="AD16" i="10"/>
  <c r="AM16" i="10"/>
  <c r="AV16" i="10"/>
  <c r="BM16" i="10"/>
  <c r="AI13" i="10"/>
  <c r="AM13" i="10"/>
  <c r="AR13" i="10"/>
  <c r="AV13" i="10"/>
  <c r="BA13" i="10"/>
  <c r="BM13" i="10"/>
  <c r="BH15" i="10"/>
  <c r="BF15" i="10"/>
  <c r="BK15" i="10"/>
  <c r="Z15" i="10"/>
  <c r="BI15" i="10"/>
  <c r="BJ15" i="10"/>
  <c r="BG15" i="10"/>
  <c r="V15" i="10"/>
  <c r="AB15" i="10"/>
  <c r="AF15" i="10"/>
  <c r="AK15" i="10"/>
  <c r="AP15" i="10"/>
  <c r="AT15" i="10"/>
  <c r="AY15" i="10"/>
  <c r="BC15" i="10"/>
  <c r="BO15" i="10"/>
  <c r="BH13" i="10"/>
  <c r="BJ13" i="10"/>
  <c r="BG13" i="10"/>
  <c r="BI13" i="10"/>
  <c r="BF13" i="10"/>
  <c r="Z13" i="10"/>
  <c r="BK13" i="10"/>
  <c r="V13" i="10"/>
  <c r="AB13" i="10"/>
  <c r="AF13" i="10"/>
  <c r="AK13" i="10"/>
  <c r="AP13" i="10"/>
  <c r="AT13" i="10"/>
  <c r="AY13" i="10"/>
  <c r="BC13" i="10"/>
  <c r="BO13" i="10"/>
  <c r="BT15" i="10"/>
  <c r="T15" i="10"/>
  <c r="X15" i="10"/>
  <c r="AD15" i="10"/>
  <c r="AI15" i="10"/>
  <c r="AM15" i="10"/>
  <c r="AR15" i="10"/>
  <c r="AV15" i="10"/>
  <c r="BA15" i="10"/>
  <c r="BM15" i="10"/>
  <c r="BQ15" i="10"/>
  <c r="BT7" i="10"/>
  <c r="T7" i="10"/>
  <c r="X7" i="10"/>
  <c r="AD7" i="10"/>
  <c r="AI7" i="10"/>
  <c r="AM7" i="10"/>
  <c r="AR7" i="10"/>
  <c r="AV7" i="10"/>
  <c r="BA7" i="10"/>
  <c r="BM7" i="10"/>
  <c r="BH7" i="10"/>
  <c r="BI7" i="10"/>
  <c r="BF7" i="10"/>
  <c r="BJ7" i="10"/>
  <c r="Z7" i="10"/>
  <c r="BG7" i="10"/>
  <c r="BK7" i="10"/>
  <c r="R7" i="10"/>
  <c r="V7" i="10"/>
  <c r="AB7" i="10"/>
  <c r="AF7" i="10"/>
  <c r="AK7" i="10"/>
  <c r="AP7" i="10"/>
  <c r="AT7" i="10"/>
  <c r="AY7" i="10"/>
  <c r="BC7" i="10"/>
  <c r="BO7" i="10"/>
  <c r="B25" i="16"/>
  <c r="B25" i="23"/>
  <c r="B25" i="29"/>
  <c r="B25" i="15"/>
  <c r="B25" i="28"/>
  <c r="B25" i="11"/>
  <c r="B25" i="37"/>
  <c r="B25" i="33"/>
  <c r="B25" i="38"/>
  <c r="B25" i="39"/>
  <c r="N69" i="10"/>
  <c r="AE69" i="10"/>
  <c r="BO69" i="10"/>
  <c r="AM68" i="10"/>
  <c r="N68" i="10"/>
  <c r="AE68" i="10"/>
  <c r="BQ38" i="10"/>
  <c r="AN38" i="10"/>
  <c r="AF38" i="10"/>
  <c r="BO79" i="10"/>
  <c r="BO78" i="10"/>
  <c r="J54" i="10"/>
  <c r="AT54" i="10" s="1"/>
  <c r="J54" i="51"/>
  <c r="J54" i="50"/>
  <c r="M54" i="10"/>
  <c r="BU54" i="10" s="1"/>
  <c r="R54" i="51"/>
  <c r="V54" i="51" s="1"/>
  <c r="B25" i="34"/>
  <c r="G54" i="51"/>
  <c r="AK48" i="10"/>
  <c r="AK46" i="10"/>
  <c r="G43" i="10"/>
  <c r="G43" i="51"/>
  <c r="I28" i="10"/>
  <c r="N28" i="10" s="1"/>
  <c r="B23" i="91"/>
  <c r="I28" i="51"/>
  <c r="S27" i="50"/>
  <c r="V27" i="51"/>
  <c r="T27" i="50"/>
  <c r="W27" i="51"/>
  <c r="V27" i="50"/>
  <c r="S27" i="51"/>
  <c r="B23" i="30"/>
  <c r="AC25" i="10"/>
  <c r="N25" i="10"/>
  <c r="AK25" i="10"/>
  <c r="I26" i="50"/>
  <c r="AK26" i="10"/>
  <c r="BO26" i="10"/>
  <c r="N26" i="10"/>
  <c r="AC26" i="10"/>
  <c r="I26" i="51"/>
  <c r="B23" i="78"/>
  <c r="B18" i="57"/>
  <c r="B20" i="57"/>
  <c r="J75" i="51" s="1"/>
  <c r="BF75" i="10"/>
  <c r="BK75" i="10"/>
  <c r="BG75" i="10"/>
  <c r="BI75" i="10"/>
  <c r="BH75" i="10"/>
  <c r="BN75" i="10"/>
  <c r="M34" i="51"/>
  <c r="M94" i="51" s="1"/>
  <c r="B21" i="67"/>
  <c r="K34" i="51" s="1"/>
  <c r="B24" i="67"/>
  <c r="M34" i="50"/>
  <c r="Q34" i="50" s="1"/>
  <c r="G34" i="10"/>
  <c r="G34" i="51"/>
  <c r="BQ75" i="10"/>
  <c r="AE75" i="10"/>
  <c r="J75" i="10"/>
  <c r="AU75" i="10" s="1"/>
  <c r="L62" i="10"/>
  <c r="L62" i="50"/>
  <c r="L3" i="10"/>
  <c r="L3" i="51"/>
  <c r="J62" i="51"/>
  <c r="J62" i="50"/>
  <c r="L3" i="50"/>
  <c r="M78" i="10"/>
  <c r="BU78" i="10" s="1"/>
  <c r="M79" i="10"/>
  <c r="BU79" i="10" s="1"/>
  <c r="P30" i="73"/>
  <c r="P38" i="73"/>
  <c r="BO34" i="10"/>
  <c r="AK34" i="10"/>
  <c r="I62" i="10"/>
  <c r="I62" i="51"/>
  <c r="I62" i="50"/>
  <c r="J87" i="50"/>
  <c r="J87" i="51"/>
  <c r="I34" i="51"/>
  <c r="I34" i="50"/>
  <c r="J62" i="10"/>
  <c r="AS62" i="10" s="1"/>
  <c r="B22" i="42"/>
  <c r="J78" i="50"/>
  <c r="B23" i="83"/>
  <c r="J78" i="51"/>
  <c r="J79" i="10"/>
  <c r="AS79" i="10" s="1"/>
  <c r="J79" i="50"/>
  <c r="B23" i="84"/>
  <c r="J79" i="51"/>
  <c r="B22" i="84"/>
  <c r="G87" i="10"/>
  <c r="B23" i="69"/>
  <c r="B17" i="69"/>
  <c r="G87" i="50"/>
  <c r="P8" i="73"/>
  <c r="P10" i="73"/>
  <c r="P16" i="73"/>
  <c r="P18" i="73"/>
  <c r="P25" i="73"/>
  <c r="P33" i="73"/>
  <c r="P41" i="73"/>
  <c r="B24" i="42"/>
  <c r="M62" i="50"/>
  <c r="R62" i="50" s="1"/>
  <c r="U62" i="50" s="1"/>
  <c r="BQ45" i="10"/>
  <c r="AC62" i="10"/>
  <c r="N78" i="51"/>
  <c r="N79" i="51"/>
  <c r="B24" i="69"/>
  <c r="O5" i="73"/>
  <c r="O9" i="73"/>
  <c r="O13" i="73"/>
  <c r="O17" i="73"/>
  <c r="O21" i="73"/>
  <c r="O25" i="73"/>
  <c r="O29" i="73"/>
  <c r="O33" i="73"/>
  <c r="O45" i="73"/>
  <c r="N45" i="10"/>
  <c r="B20" i="67"/>
  <c r="C8" i="52"/>
  <c r="C7" i="52"/>
  <c r="C10" i="52"/>
  <c r="C5" i="52"/>
  <c r="C6" i="52"/>
  <c r="C9" i="52"/>
  <c r="I51" i="10"/>
  <c r="BQ51" i="10" s="1"/>
  <c r="I51" i="50"/>
  <c r="BB51" i="50" s="1"/>
  <c r="I51" i="51"/>
  <c r="C8" i="53"/>
  <c r="BG64" i="10"/>
  <c r="BK64" i="10"/>
  <c r="BH64" i="10"/>
  <c r="BI64" i="10"/>
  <c r="BF64" i="10"/>
  <c r="BJ64" i="10"/>
  <c r="BO64" i="10"/>
  <c r="C5" i="53"/>
  <c r="BI27" i="10"/>
  <c r="BG27" i="10"/>
  <c r="BK27" i="10"/>
  <c r="BF27" i="10"/>
  <c r="BJ27" i="10"/>
  <c r="BH27" i="10"/>
  <c r="B16" i="31"/>
  <c r="C6" i="53"/>
  <c r="C10" i="53"/>
  <c r="BG28" i="10"/>
  <c r="BK28" i="10"/>
  <c r="BI28" i="10"/>
  <c r="BJ28" i="10"/>
  <c r="BH28" i="10"/>
  <c r="BF28" i="10"/>
  <c r="BO28" i="10"/>
  <c r="BM64" i="10"/>
  <c r="BQ64" i="10"/>
  <c r="C9" i="53"/>
  <c r="BN27" i="10"/>
  <c r="BP64" i="10"/>
  <c r="BN64" i="10"/>
  <c r="BR64" i="10"/>
  <c r="R63" i="10"/>
  <c r="V63" i="10"/>
  <c r="AA63" i="10"/>
  <c r="AE63" i="10"/>
  <c r="AJ63" i="10"/>
  <c r="AN63" i="10"/>
  <c r="AS63" i="10"/>
  <c r="AX63" i="10"/>
  <c r="BB63" i="10"/>
  <c r="BP63" i="10"/>
  <c r="S63" i="10"/>
  <c r="W63" i="10"/>
  <c r="AB63" i="10"/>
  <c r="AF63" i="10"/>
  <c r="AK63" i="10"/>
  <c r="AP63" i="10"/>
  <c r="AT63" i="10"/>
  <c r="AY63" i="10"/>
  <c r="BC63" i="10"/>
  <c r="BM63" i="10"/>
  <c r="BQ63" i="10"/>
  <c r="BT63" i="10"/>
  <c r="T63" i="10"/>
  <c r="X63" i="10"/>
  <c r="AC63" i="10"/>
  <c r="AH63" i="10"/>
  <c r="AL63" i="10"/>
  <c r="AQ63" i="10"/>
  <c r="AU63" i="10"/>
  <c r="AZ63" i="10"/>
  <c r="BD63" i="10"/>
  <c r="BN63" i="10"/>
  <c r="BR63" i="10"/>
  <c r="BU63" i="10"/>
  <c r="U63" i="10"/>
  <c r="AD63" i="10"/>
  <c r="AI63" i="10"/>
  <c r="AM63" i="10"/>
  <c r="AR63" i="10"/>
  <c r="AV63" i="10"/>
  <c r="BA63" i="10"/>
  <c r="AR54" i="10"/>
  <c r="AD54" i="10"/>
  <c r="AV54" i="10"/>
  <c r="BO54" i="10"/>
  <c r="AI54" i="10"/>
  <c r="BA54" i="10"/>
  <c r="U54" i="10"/>
  <c r="AM54" i="10"/>
  <c r="AH53" i="10"/>
  <c r="BR53" i="10"/>
  <c r="AI53" i="10"/>
  <c r="BT53" i="10"/>
  <c r="AZ53" i="10"/>
  <c r="X53" i="10"/>
  <c r="AQ53" i="10"/>
  <c r="AR53" i="10"/>
  <c r="AR52" i="10"/>
  <c r="AD52" i="10"/>
  <c r="AV52" i="10"/>
  <c r="BO52" i="10"/>
  <c r="BU52" i="10"/>
  <c r="AI52" i="10"/>
  <c r="BA52" i="10"/>
  <c r="U52" i="10"/>
  <c r="AM52" i="10"/>
  <c r="AI50" i="10"/>
  <c r="AR50" i="10"/>
  <c r="BU50" i="10"/>
  <c r="BA50" i="10"/>
  <c r="T50" i="10"/>
  <c r="AC50" i="10"/>
  <c r="AL50" i="10"/>
  <c r="AU50" i="10"/>
  <c r="BD50" i="10"/>
  <c r="BN50" i="10"/>
  <c r="U50" i="10"/>
  <c r="AD50" i="10"/>
  <c r="AM50" i="10"/>
  <c r="AV50" i="10"/>
  <c r="BO50" i="10"/>
  <c r="BT50" i="10"/>
  <c r="X50" i="10"/>
  <c r="AH50" i="10"/>
  <c r="AQ50" i="10"/>
  <c r="AZ50" i="10"/>
  <c r="BR50" i="10"/>
  <c r="T49" i="10"/>
  <c r="AC49" i="10"/>
  <c r="AL49" i="10"/>
  <c r="AU49" i="10"/>
  <c r="BD49" i="10"/>
  <c r="BN49" i="10"/>
  <c r="R49" i="10"/>
  <c r="V49" i="10"/>
  <c r="AA49" i="10"/>
  <c r="AE49" i="10"/>
  <c r="AJ49" i="10"/>
  <c r="AN49" i="10"/>
  <c r="AS49" i="10"/>
  <c r="AX49" i="10"/>
  <c r="BB49" i="10"/>
  <c r="BP49" i="10"/>
  <c r="S49" i="10"/>
  <c r="W49" i="10"/>
  <c r="AB49" i="10"/>
  <c r="AF49" i="10"/>
  <c r="AK49" i="10"/>
  <c r="AP49" i="10"/>
  <c r="AT49" i="10"/>
  <c r="AY49" i="10"/>
  <c r="BC49" i="10"/>
  <c r="BM49" i="10"/>
  <c r="R50" i="10"/>
  <c r="V50" i="10"/>
  <c r="AA50" i="10"/>
  <c r="AE50" i="10"/>
  <c r="AJ50" i="10"/>
  <c r="AN50" i="10"/>
  <c r="AX50" i="10"/>
  <c r="BB50" i="10"/>
  <c r="BP50" i="10"/>
  <c r="S50" i="10"/>
  <c r="W50" i="10"/>
  <c r="AB50" i="10"/>
  <c r="AF50" i="10"/>
  <c r="AK50" i="10"/>
  <c r="AP50" i="10"/>
  <c r="AT50" i="10"/>
  <c r="AY50" i="10"/>
  <c r="BC50" i="10"/>
  <c r="BM50" i="10"/>
  <c r="AR51" i="10"/>
  <c r="AD51" i="10"/>
  <c r="AV51" i="10"/>
  <c r="BO51" i="10"/>
  <c r="BU51" i="10"/>
  <c r="AI51" i="10"/>
  <c r="BA51" i="10"/>
  <c r="U51" i="10"/>
  <c r="AM51" i="10"/>
  <c r="R51" i="10"/>
  <c r="V51" i="10"/>
  <c r="AA51" i="10"/>
  <c r="AE51" i="10"/>
  <c r="AJ51" i="10"/>
  <c r="AS51" i="10"/>
  <c r="AX51" i="10"/>
  <c r="BB51" i="10"/>
  <c r="BP51" i="10"/>
  <c r="S51" i="10"/>
  <c r="W51" i="10"/>
  <c r="AB51" i="10"/>
  <c r="AK51" i="10"/>
  <c r="AP51" i="10"/>
  <c r="AT51" i="10"/>
  <c r="AY51" i="10"/>
  <c r="BC51" i="10"/>
  <c r="BM51" i="10"/>
  <c r="BT51" i="10"/>
  <c r="T51" i="10"/>
  <c r="X51" i="10"/>
  <c r="AC51" i="10"/>
  <c r="AH51" i="10"/>
  <c r="AL51" i="10"/>
  <c r="AQ51" i="10"/>
  <c r="AU51" i="10"/>
  <c r="AZ51" i="10"/>
  <c r="BD51" i="10"/>
  <c r="BN51" i="10"/>
  <c r="R52" i="10"/>
  <c r="V52" i="10"/>
  <c r="AA52" i="10"/>
  <c r="AE52" i="10"/>
  <c r="AJ52" i="10"/>
  <c r="AN52" i="10"/>
  <c r="AS52" i="10"/>
  <c r="AX52" i="10"/>
  <c r="BB52" i="10"/>
  <c r="BP52" i="10"/>
  <c r="S52" i="10"/>
  <c r="W52" i="10"/>
  <c r="AB52" i="10"/>
  <c r="AF52" i="10"/>
  <c r="AK52" i="10"/>
  <c r="AP52" i="10"/>
  <c r="AT52" i="10"/>
  <c r="AY52" i="10"/>
  <c r="BC52" i="10"/>
  <c r="BM52" i="10"/>
  <c r="BQ52" i="10"/>
  <c r="BT52" i="10"/>
  <c r="T52" i="10"/>
  <c r="X52" i="10"/>
  <c r="AC52" i="10"/>
  <c r="AH52" i="10"/>
  <c r="AL52" i="10"/>
  <c r="AQ52" i="10"/>
  <c r="AU52" i="10"/>
  <c r="AZ52" i="10"/>
  <c r="BD52" i="10"/>
  <c r="BN52" i="10"/>
  <c r="T53" i="10"/>
  <c r="AC53" i="10"/>
  <c r="AL53" i="10"/>
  <c r="AU53" i="10"/>
  <c r="BD53" i="10"/>
  <c r="BN53" i="10"/>
  <c r="U53" i="10"/>
  <c r="AD53" i="10"/>
  <c r="AM53" i="10"/>
  <c r="AV53" i="10"/>
  <c r="BO53" i="10"/>
  <c r="R53" i="10"/>
  <c r="V53" i="10"/>
  <c r="AA53" i="10"/>
  <c r="AE53" i="10"/>
  <c r="AJ53" i="10"/>
  <c r="AN53" i="10"/>
  <c r="AS53" i="10"/>
  <c r="AX53" i="10"/>
  <c r="BB53" i="10"/>
  <c r="BP53" i="10"/>
  <c r="S53" i="10"/>
  <c r="W53" i="10"/>
  <c r="AB53" i="10"/>
  <c r="AF53" i="10"/>
  <c r="AK53" i="10"/>
  <c r="AP53" i="10"/>
  <c r="AT53" i="10"/>
  <c r="AY53" i="10"/>
  <c r="BC53" i="10"/>
  <c r="BM53" i="10"/>
  <c r="R54" i="10"/>
  <c r="AA54" i="10"/>
  <c r="AE54" i="10"/>
  <c r="AJ54" i="10"/>
  <c r="AN54" i="10"/>
  <c r="AS54" i="10"/>
  <c r="AX54" i="10"/>
  <c r="BB54" i="10"/>
  <c r="BP54" i="10"/>
  <c r="S54" i="10"/>
  <c r="W54" i="10"/>
  <c r="AB54" i="10"/>
  <c r="AF54" i="10"/>
  <c r="AK54" i="10"/>
  <c r="AP54" i="10"/>
  <c r="AY54" i="10"/>
  <c r="BC54" i="10"/>
  <c r="BM54" i="10"/>
  <c r="BQ54" i="10"/>
  <c r="T54" i="10"/>
  <c r="X54" i="10"/>
  <c r="AC54" i="10"/>
  <c r="AH54" i="10"/>
  <c r="AQ54" i="10"/>
  <c r="AU54" i="10"/>
  <c r="AZ54" i="10"/>
  <c r="BD54" i="10"/>
  <c r="BN54" i="10"/>
  <c r="R28" i="10"/>
  <c r="V28" i="10"/>
  <c r="AA28" i="10"/>
  <c r="AE28" i="10"/>
  <c r="AJ28" i="10"/>
  <c r="AN28" i="10"/>
  <c r="AS28" i="10"/>
  <c r="AX28" i="10"/>
  <c r="BB28" i="10"/>
  <c r="BP28" i="10"/>
  <c r="S28" i="10"/>
  <c r="W28" i="10"/>
  <c r="AB28" i="10"/>
  <c r="AF28" i="10"/>
  <c r="AK28" i="10"/>
  <c r="AP28" i="10"/>
  <c r="AT28" i="10"/>
  <c r="AY28" i="10"/>
  <c r="BC28" i="10"/>
  <c r="BM28" i="10"/>
  <c r="BQ28" i="10"/>
  <c r="BT28" i="10"/>
  <c r="T28" i="10"/>
  <c r="X28" i="10"/>
  <c r="AC28" i="10"/>
  <c r="AH28" i="10"/>
  <c r="AL28" i="10"/>
  <c r="AQ28" i="10"/>
  <c r="AU28" i="10"/>
  <c r="AZ28" i="10"/>
  <c r="BD28" i="10"/>
  <c r="BN28" i="10"/>
  <c r="BR28" i="10"/>
  <c r="BU28" i="10"/>
  <c r="U28" i="10"/>
  <c r="AD28" i="10"/>
  <c r="AI28" i="10"/>
  <c r="AM28" i="10"/>
  <c r="AR28" i="10"/>
  <c r="AV28" i="10"/>
  <c r="BA28" i="10"/>
  <c r="AA27" i="10"/>
  <c r="AR27" i="10"/>
  <c r="BP27" i="10"/>
  <c r="U27" i="10"/>
  <c r="AL27" i="10"/>
  <c r="BA27" i="10"/>
  <c r="BR27" i="10"/>
  <c r="V27" i="10"/>
  <c r="AE27" i="10"/>
  <c r="AM27" i="10"/>
  <c r="AU27" i="10"/>
  <c r="T27" i="10"/>
  <c r="AI27" i="10"/>
  <c r="AZ27" i="10"/>
  <c r="AC27" i="10"/>
  <c r="AS27" i="10"/>
  <c r="U27" i="50"/>
  <c r="BU27" i="10"/>
  <c r="AH27" i="10"/>
  <c r="AN27" i="10"/>
  <c r="AX27" i="10"/>
  <c r="U27" i="51"/>
  <c r="BQ27" i="10"/>
  <c r="BM27" i="10"/>
  <c r="BC27" i="10"/>
  <c r="AY27" i="10"/>
  <c r="AT27" i="10"/>
  <c r="AP27" i="10"/>
  <c r="AK27" i="10"/>
  <c r="AF27" i="10"/>
  <c r="AB27" i="10"/>
  <c r="W27" i="10"/>
  <c r="S27" i="10"/>
  <c r="R27" i="10"/>
  <c r="AD27" i="10"/>
  <c r="AJ27" i="10"/>
  <c r="AQ27" i="10"/>
  <c r="BB27" i="10"/>
  <c r="BO27" i="10"/>
  <c r="H108" i="10" l="1"/>
  <c r="H106" i="10"/>
  <c r="G95" i="10"/>
  <c r="B25" i="102"/>
  <c r="B25" i="17"/>
  <c r="B25" i="69"/>
  <c r="B25" i="101"/>
  <c r="B25" i="83"/>
  <c r="B25" i="72"/>
  <c r="B25" i="84"/>
  <c r="B25" i="59"/>
  <c r="B25" i="26"/>
  <c r="B25" i="66"/>
  <c r="B25" i="58"/>
  <c r="B25" i="80"/>
  <c r="B25" i="97"/>
  <c r="B25" i="24"/>
  <c r="B25" i="27"/>
  <c r="B25" i="85"/>
  <c r="B25" i="86"/>
  <c r="B25" i="40"/>
  <c r="B25" i="43"/>
  <c r="B25" i="98"/>
  <c r="B25" i="71"/>
  <c r="B25" i="41"/>
  <c r="B25" i="87"/>
  <c r="B25" i="108"/>
  <c r="B25" i="106"/>
  <c r="B25" i="104"/>
  <c r="B25" i="103"/>
  <c r="B25" i="107"/>
  <c r="B25" i="36"/>
  <c r="B25" i="1"/>
  <c r="B25" i="5"/>
  <c r="B25" i="12"/>
  <c r="B25" i="14"/>
  <c r="B25" i="77"/>
  <c r="B25" i="3"/>
  <c r="B25" i="13"/>
  <c r="B25" i="82"/>
  <c r="B25" i="19"/>
  <c r="B25" i="18"/>
  <c r="B25" i="20"/>
  <c r="B25" i="91"/>
  <c r="B25" i="48"/>
  <c r="B25" i="7"/>
  <c r="B25" i="76"/>
  <c r="B25" i="21"/>
  <c r="B25" i="81"/>
  <c r="B25" i="79"/>
  <c r="B25" i="92"/>
  <c r="B25" i="68"/>
  <c r="B25" i="96"/>
  <c r="B25" i="105"/>
  <c r="B25" i="100"/>
  <c r="B25" i="99"/>
  <c r="B25" i="88"/>
  <c r="B25" i="55"/>
  <c r="B25" i="46"/>
  <c r="B25" i="54"/>
  <c r="B25" i="45"/>
  <c r="B25" i="70"/>
  <c r="M38" i="50"/>
  <c r="B24" i="22"/>
  <c r="S92" i="50"/>
  <c r="E5" i="52" s="1"/>
  <c r="G5" i="52" s="1"/>
  <c r="T92" i="50"/>
  <c r="E6" i="52" s="1"/>
  <c r="G6" i="52" s="1"/>
  <c r="AQ92" i="50"/>
  <c r="C41" i="47" s="1"/>
  <c r="X37" i="10"/>
  <c r="BP92" i="50"/>
  <c r="F42" i="47" s="1"/>
  <c r="AB92" i="50"/>
  <c r="C29" i="47" s="1"/>
  <c r="BO92" i="50"/>
  <c r="F41" i="47" s="1"/>
  <c r="V92" i="50"/>
  <c r="E8" i="52" s="1"/>
  <c r="G8" i="52" s="1"/>
  <c r="AO92" i="50"/>
  <c r="C39" i="47" s="1"/>
  <c r="Q27" i="51"/>
  <c r="BJ92" i="50"/>
  <c r="E44" i="47" s="1"/>
  <c r="BL92" i="50"/>
  <c r="F38" i="47" s="1"/>
  <c r="AP92" i="50"/>
  <c r="C40" i="47" s="1"/>
  <c r="BH92" i="50"/>
  <c r="E42" i="47" s="1"/>
  <c r="BR92" i="50"/>
  <c r="F44" i="47" s="1"/>
  <c r="AH92" i="50"/>
  <c r="D31" i="47" s="1"/>
  <c r="AI92" i="50"/>
  <c r="D29" i="47" s="1"/>
  <c r="AC92" i="50"/>
  <c r="C30" i="47" s="1"/>
  <c r="AN92" i="50"/>
  <c r="C38" i="47" s="1"/>
  <c r="Z92" i="50"/>
  <c r="C28" i="47" s="1"/>
  <c r="BM92" i="50"/>
  <c r="F39" i="47" s="1"/>
  <c r="AR92" i="50"/>
  <c r="C42" i="47" s="1"/>
  <c r="AS92" i="50"/>
  <c r="C43" i="47" s="1"/>
  <c r="AE92" i="50"/>
  <c r="C32" i="47" s="1"/>
  <c r="AY92" i="50"/>
  <c r="D41" i="47" s="1"/>
  <c r="BQ92" i="50"/>
  <c r="F43" i="47" s="1"/>
  <c r="AX92" i="50"/>
  <c r="D40" i="47" s="1"/>
  <c r="BA92" i="50"/>
  <c r="D43" i="47" s="1"/>
  <c r="BB92" i="50"/>
  <c r="D44" i="47" s="1"/>
  <c r="BG92" i="50"/>
  <c r="E41" i="47" s="1"/>
  <c r="BF92" i="50"/>
  <c r="E40" i="47" s="1"/>
  <c r="AJ92" i="50"/>
  <c r="D30" i="47" s="1"/>
  <c r="BD92" i="50"/>
  <c r="E38" i="47" s="1"/>
  <c r="AA92" i="50"/>
  <c r="C31" i="47" s="1"/>
  <c r="AV92" i="50"/>
  <c r="D38" i="47" s="1"/>
  <c r="BN92" i="50"/>
  <c r="F40" i="47" s="1"/>
  <c r="AK51" i="50"/>
  <c r="AK92" i="50" s="1"/>
  <c r="D27" i="47" s="1"/>
  <c r="Q62" i="50"/>
  <c r="BJ84" i="10"/>
  <c r="Q37" i="10"/>
  <c r="BN55" i="10"/>
  <c r="BN91" i="10" s="1"/>
  <c r="D8" i="47" s="1"/>
  <c r="N55" i="10"/>
  <c r="Z84" i="10"/>
  <c r="N37" i="10"/>
  <c r="BT37" i="10"/>
  <c r="R55" i="51"/>
  <c r="T55" i="51" s="1"/>
  <c r="E6" i="53" s="1"/>
  <c r="G6" i="53" s="1"/>
  <c r="B22" i="35"/>
  <c r="J55" i="50"/>
  <c r="K55" i="10"/>
  <c r="AZ55" i="10" s="1"/>
  <c r="AZ91" i="10" s="1"/>
  <c r="F17" i="47" s="1"/>
  <c r="K55" i="50"/>
  <c r="K55" i="51"/>
  <c r="AN51" i="10"/>
  <c r="AN91" i="10" s="1"/>
  <c r="D21" i="47" s="1"/>
  <c r="AC34" i="10"/>
  <c r="R34" i="51"/>
  <c r="U34" i="51" s="1"/>
  <c r="E7" i="53" s="1"/>
  <c r="R34" i="50"/>
  <c r="E9" i="53"/>
  <c r="G9" i="53" s="1"/>
  <c r="M41" i="10"/>
  <c r="L82" i="50"/>
  <c r="L82" i="10"/>
  <c r="L82" i="51"/>
  <c r="M40" i="10"/>
  <c r="M7" i="10"/>
  <c r="B26" i="6"/>
  <c r="L23" i="10"/>
  <c r="L23" i="51"/>
  <c r="L23" i="50"/>
  <c r="L19" i="51"/>
  <c r="L19" i="10"/>
  <c r="L19" i="50"/>
  <c r="K58" i="51"/>
  <c r="K58" i="10"/>
  <c r="K58" i="50"/>
  <c r="B22" i="79"/>
  <c r="J27" i="10"/>
  <c r="AV27" i="10" s="1"/>
  <c r="AV91" i="10" s="1"/>
  <c r="E21" i="47" s="1"/>
  <c r="B23" i="79"/>
  <c r="J27" i="51"/>
  <c r="J27" i="50"/>
  <c r="L63" i="51"/>
  <c r="L63" i="50"/>
  <c r="L63" i="10"/>
  <c r="B20" i="24"/>
  <c r="M43" i="50"/>
  <c r="B24" i="24"/>
  <c r="L38" i="10"/>
  <c r="L38" i="50"/>
  <c r="B22" i="78"/>
  <c r="J26" i="51"/>
  <c r="J26" i="50"/>
  <c r="J26" i="10"/>
  <c r="AS26" i="10" s="1"/>
  <c r="M21" i="51"/>
  <c r="B24" i="68"/>
  <c r="B23" i="11"/>
  <c r="B22" i="11"/>
  <c r="B25" i="6"/>
  <c r="B22" i="83"/>
  <c r="B22" i="69"/>
  <c r="B25" i="35"/>
  <c r="B25" i="78"/>
  <c r="B25" i="30"/>
  <c r="B22" i="40"/>
  <c r="J59" i="10"/>
  <c r="J59" i="50"/>
  <c r="BE59" i="50" s="1"/>
  <c r="BE92" i="50" s="1"/>
  <c r="E39" i="47" s="1"/>
  <c r="J59" i="51"/>
  <c r="I84" i="10"/>
  <c r="I84" i="51"/>
  <c r="N84" i="51" s="1"/>
  <c r="I84" i="50"/>
  <c r="N84" i="50" s="1"/>
  <c r="L55" i="51"/>
  <c r="L55" i="10"/>
  <c r="L55" i="50"/>
  <c r="L46" i="51"/>
  <c r="L46" i="50"/>
  <c r="L46" i="10"/>
  <c r="B23" i="40"/>
  <c r="G42" i="10"/>
  <c r="G42" i="50"/>
  <c r="G42" i="51"/>
  <c r="L36" i="10"/>
  <c r="L36" i="50"/>
  <c r="L36" i="51"/>
  <c r="L22" i="51"/>
  <c r="L22" i="10"/>
  <c r="L22" i="50"/>
  <c r="B26" i="39"/>
  <c r="M58" i="10"/>
  <c r="N58" i="10" s="1"/>
  <c r="L53" i="10"/>
  <c r="L53" i="51"/>
  <c r="L53" i="50"/>
  <c r="B26" i="79"/>
  <c r="M27" i="10"/>
  <c r="Q27" i="10" s="1"/>
  <c r="K87" i="51"/>
  <c r="K87" i="10"/>
  <c r="AX87" i="10" s="1"/>
  <c r="AX91" i="10" s="1"/>
  <c r="F15" i="47" s="1"/>
  <c r="K87" i="50"/>
  <c r="L60" i="51"/>
  <c r="L60" i="10"/>
  <c r="L60" i="50"/>
  <c r="L45" i="51"/>
  <c r="L45" i="50"/>
  <c r="L45" i="10"/>
  <c r="K26" i="10"/>
  <c r="BA26" i="10" s="1"/>
  <c r="K26" i="51"/>
  <c r="K26" i="50"/>
  <c r="M77" i="10"/>
  <c r="I64" i="51"/>
  <c r="I64" i="50"/>
  <c r="I64" i="10"/>
  <c r="J41" i="51"/>
  <c r="J41" i="10"/>
  <c r="B23" i="59"/>
  <c r="J41" i="50"/>
  <c r="L7" i="51"/>
  <c r="L7" i="50"/>
  <c r="L7" i="10"/>
  <c r="B22" i="38"/>
  <c r="J57" i="51"/>
  <c r="J57" i="50"/>
  <c r="B23" i="38"/>
  <c r="J57" i="10"/>
  <c r="L84" i="10"/>
  <c r="L84" i="51"/>
  <c r="L84" i="50"/>
  <c r="J64" i="10"/>
  <c r="J64" i="51"/>
  <c r="J64" i="50"/>
  <c r="G44" i="51"/>
  <c r="G44" i="10"/>
  <c r="G44" i="50"/>
  <c r="L21" i="10"/>
  <c r="L21" i="51"/>
  <c r="L21" i="50"/>
  <c r="I82" i="50"/>
  <c r="N82" i="50" s="1"/>
  <c r="I82" i="10"/>
  <c r="N82" i="10" s="1"/>
  <c r="I82" i="51"/>
  <c r="N82" i="51" s="1"/>
  <c r="G14" i="39"/>
  <c r="B20" i="39" s="1"/>
  <c r="H14" i="39"/>
  <c r="P58" i="51"/>
  <c r="M58" i="50"/>
  <c r="P58" i="50"/>
  <c r="K27" i="51"/>
  <c r="K27" i="10"/>
  <c r="BD27" i="10" s="1"/>
  <c r="BD91" i="10" s="1"/>
  <c r="F21" i="47" s="1"/>
  <c r="K27" i="50"/>
  <c r="M57" i="10"/>
  <c r="N57" i="10" s="1"/>
  <c r="B26" i="38"/>
  <c r="P42" i="51"/>
  <c r="P41" i="51"/>
  <c r="P39" i="50"/>
  <c r="L39" i="51"/>
  <c r="L39" i="10"/>
  <c r="P39" i="51"/>
  <c r="L39" i="50"/>
  <c r="L33" i="10"/>
  <c r="L33" i="51"/>
  <c r="L33" i="50"/>
  <c r="B26" i="92"/>
  <c r="M23" i="10"/>
  <c r="Q23" i="10" s="1"/>
  <c r="B22" i="72"/>
  <c r="J77" i="51"/>
  <c r="J77" i="10"/>
  <c r="J77" i="50"/>
  <c r="B22" i="44"/>
  <c r="I42" i="51"/>
  <c r="I42" i="10"/>
  <c r="I42" i="50"/>
  <c r="J40" i="10"/>
  <c r="J40" i="51"/>
  <c r="B23" i="66"/>
  <c r="J40" i="50"/>
  <c r="J50" i="10"/>
  <c r="AS50" i="10" s="1"/>
  <c r="J50" i="51"/>
  <c r="J50" i="50"/>
  <c r="B23" i="72"/>
  <c r="B24" i="80"/>
  <c r="B20" i="80"/>
  <c r="M44" i="50"/>
  <c r="M64" i="10"/>
  <c r="B26" i="44"/>
  <c r="B23" i="44"/>
  <c r="L29" i="10"/>
  <c r="L29" i="51"/>
  <c r="L29" i="50"/>
  <c r="I63" i="51"/>
  <c r="I63" i="50"/>
  <c r="I63" i="10"/>
  <c r="N63" i="10" s="1"/>
  <c r="B23" i="28"/>
  <c r="J49" i="51"/>
  <c r="J49" i="10"/>
  <c r="J49" i="50"/>
  <c r="I43" i="51"/>
  <c r="I43" i="50"/>
  <c r="I43" i="10"/>
  <c r="B24" i="75"/>
  <c r="M22" i="51"/>
  <c r="B26" i="11"/>
  <c r="M8" i="10"/>
  <c r="BU8" i="10" s="1"/>
  <c r="L65" i="50"/>
  <c r="L65" i="10"/>
  <c r="B23" i="29"/>
  <c r="B24" i="58"/>
  <c r="B20" i="58"/>
  <c r="M42" i="50"/>
  <c r="B25" i="31"/>
  <c r="W93" i="51"/>
  <c r="E10" i="53"/>
  <c r="F10" i="53" s="1"/>
  <c r="S93" i="51"/>
  <c r="X93" i="51"/>
  <c r="E5" i="53"/>
  <c r="F5" i="53" s="1"/>
  <c r="BH34" i="10"/>
  <c r="I54" i="50"/>
  <c r="I54" i="10"/>
  <c r="I54" i="51"/>
  <c r="BT54" i="10"/>
  <c r="V54" i="10"/>
  <c r="BH43" i="10"/>
  <c r="AC43" i="10"/>
  <c r="L28" i="51"/>
  <c r="L28" i="50"/>
  <c r="L28" i="10"/>
  <c r="L25" i="51"/>
  <c r="L25" i="10"/>
  <c r="L25" i="50"/>
  <c r="L26" i="50"/>
  <c r="L26" i="10"/>
  <c r="L26" i="51"/>
  <c r="J75" i="50"/>
  <c r="BI75" i="50" s="1"/>
  <c r="BI92" i="50" s="1"/>
  <c r="E43" i="47" s="1"/>
  <c r="B22" i="57"/>
  <c r="B23" i="57"/>
  <c r="L75" i="10" s="1"/>
  <c r="B24" i="57"/>
  <c r="M75" i="50"/>
  <c r="K34" i="50"/>
  <c r="K34" i="10"/>
  <c r="BA34" i="10" s="1"/>
  <c r="B26" i="67"/>
  <c r="M34" i="10"/>
  <c r="Q34" i="10" s="1"/>
  <c r="B25" i="67"/>
  <c r="B23" i="67"/>
  <c r="L34" i="50" s="1"/>
  <c r="L75" i="50"/>
  <c r="L79" i="10"/>
  <c r="L79" i="51"/>
  <c r="L79" i="50"/>
  <c r="BO62" i="10"/>
  <c r="BO91" i="10" s="1"/>
  <c r="D6" i="47" s="1"/>
  <c r="AK62" i="10"/>
  <c r="AK91" i="10" s="1"/>
  <c r="D18" i="47" s="1"/>
  <c r="U79" i="10"/>
  <c r="N79" i="10"/>
  <c r="BT79" i="10"/>
  <c r="B26" i="42"/>
  <c r="M62" i="10"/>
  <c r="B25" i="42"/>
  <c r="J34" i="50"/>
  <c r="J34" i="51"/>
  <c r="B22" i="67"/>
  <c r="J34" i="10"/>
  <c r="AS34" i="10" s="1"/>
  <c r="B26" i="69"/>
  <c r="M87" i="10"/>
  <c r="Q87" i="10" s="1"/>
  <c r="L87" i="10"/>
  <c r="L87" i="50"/>
  <c r="L87" i="51"/>
  <c r="L78" i="10"/>
  <c r="L78" i="51"/>
  <c r="L78" i="50"/>
  <c r="BI87" i="10"/>
  <c r="BI91" i="10" s="1"/>
  <c r="C7" i="47" s="1"/>
  <c r="Z87" i="10"/>
  <c r="I87" i="51"/>
  <c r="N87" i="51" s="1"/>
  <c r="I87" i="50"/>
  <c r="N87" i="50" s="1"/>
  <c r="I87" i="10"/>
  <c r="BT78" i="10"/>
  <c r="N78" i="10"/>
  <c r="U78" i="10"/>
  <c r="G51" i="51"/>
  <c r="G97" i="51" s="1"/>
  <c r="B22" i="31"/>
  <c r="G51" i="10"/>
  <c r="G97" i="10" s="1"/>
  <c r="G51" i="50"/>
  <c r="B23" i="31"/>
  <c r="AM91" i="10"/>
  <c r="D20" i="47" s="1"/>
  <c r="AD91" i="10"/>
  <c r="C19" i="47" s="1"/>
  <c r="BC91" i="10"/>
  <c r="F20" i="47" s="1"/>
  <c r="AY91" i="10"/>
  <c r="F16" i="47" s="1"/>
  <c r="AE91" i="10"/>
  <c r="C20" i="47" s="1"/>
  <c r="AA91" i="10"/>
  <c r="C16" i="47" s="1"/>
  <c r="BF91" i="10"/>
  <c r="C5" i="47" s="1"/>
  <c r="AU91" i="10"/>
  <c r="E20" i="47" s="1"/>
  <c r="AB91" i="10"/>
  <c r="C17" i="47" s="1"/>
  <c r="AT91" i="10"/>
  <c r="E19" i="47" s="1"/>
  <c r="BM91" i="10"/>
  <c r="D5" i="47" s="1"/>
  <c r="AJ91" i="10"/>
  <c r="D17" i="47" s="1"/>
  <c r="BB91" i="10"/>
  <c r="F19" i="47" s="1"/>
  <c r="AQ91" i="10"/>
  <c r="E16" i="47" s="1"/>
  <c r="BG91" i="10"/>
  <c r="C8" i="47" s="1"/>
  <c r="BK91" i="10"/>
  <c r="C9" i="47" s="1"/>
  <c r="AR91" i="10"/>
  <c r="E17" i="47" s="1"/>
  <c r="AP91" i="10"/>
  <c r="E15" i="47" s="1"/>
  <c r="AI91" i="10"/>
  <c r="D16" i="47" s="1"/>
  <c r="T91" i="10"/>
  <c r="E11" i="2" s="1"/>
  <c r="S91" i="10"/>
  <c r="E10" i="2" s="1"/>
  <c r="G108" i="10" l="1"/>
  <c r="G94" i="10"/>
  <c r="H110" i="10"/>
  <c r="G90" i="10"/>
  <c r="G106" i="10"/>
  <c r="F65" i="47"/>
  <c r="F67" i="47"/>
  <c r="M38" i="10"/>
  <c r="B26" i="22"/>
  <c r="B25" i="22"/>
  <c r="M98" i="50"/>
  <c r="R38" i="50"/>
  <c r="X38" i="50" s="1"/>
  <c r="X92" i="50" s="1"/>
  <c r="E10" i="52" s="1"/>
  <c r="G10" i="52" s="1"/>
  <c r="Q38" i="50"/>
  <c r="Q92" i="50" s="1"/>
  <c r="Q96" i="50" s="1"/>
  <c r="AC91" i="10"/>
  <c r="C18" i="47" s="1"/>
  <c r="C64" i="47" s="1"/>
  <c r="G40" i="47"/>
  <c r="R21" i="51"/>
  <c r="V21" i="51" s="1"/>
  <c r="Q21" i="51"/>
  <c r="F66" i="47"/>
  <c r="C62" i="47"/>
  <c r="R22" i="51"/>
  <c r="V22" i="51" s="1"/>
  <c r="Q22" i="51"/>
  <c r="G41" i="47"/>
  <c r="G16" i="47"/>
  <c r="D52" i="47"/>
  <c r="G20" i="47"/>
  <c r="G38" i="47"/>
  <c r="G43" i="47"/>
  <c r="E45" i="47"/>
  <c r="D67" i="47"/>
  <c r="E29" i="47"/>
  <c r="F29" i="47" s="1"/>
  <c r="D63" i="47"/>
  <c r="E8" i="47"/>
  <c r="F8" i="47" s="1"/>
  <c r="E5" i="47"/>
  <c r="F5" i="47" s="1"/>
  <c r="E31" i="47"/>
  <c r="F31" i="47" s="1"/>
  <c r="C54" i="47"/>
  <c r="D64" i="47"/>
  <c r="C51" i="47"/>
  <c r="D54" i="47"/>
  <c r="C55" i="47"/>
  <c r="C66" i="47"/>
  <c r="C63" i="47"/>
  <c r="G17" i="47"/>
  <c r="F63" i="47"/>
  <c r="D66" i="47"/>
  <c r="C65" i="47"/>
  <c r="F62" i="47"/>
  <c r="E30" i="47"/>
  <c r="F30" i="47" s="1"/>
  <c r="C53" i="47"/>
  <c r="F61" i="47"/>
  <c r="F45" i="47"/>
  <c r="E65" i="47"/>
  <c r="E61" i="47"/>
  <c r="E62" i="47"/>
  <c r="E63" i="47"/>
  <c r="E66" i="47"/>
  <c r="E67" i="47"/>
  <c r="U34" i="50"/>
  <c r="AD51" i="50"/>
  <c r="AD92" i="50" s="1"/>
  <c r="C27" i="47" s="1"/>
  <c r="C33" i="47" s="1"/>
  <c r="AT51" i="50"/>
  <c r="AT92" i="50" s="1"/>
  <c r="C44" i="47" s="1"/>
  <c r="G44" i="47" s="1"/>
  <c r="M94" i="50"/>
  <c r="AL54" i="50"/>
  <c r="AL92" i="50" s="1"/>
  <c r="D32" i="47" s="1"/>
  <c r="E32" i="47" s="1"/>
  <c r="F32" i="47" s="1"/>
  <c r="AZ54" i="50"/>
  <c r="AZ92" i="50" s="1"/>
  <c r="D42" i="47" s="1"/>
  <c r="G42" i="47" s="1"/>
  <c r="AG63" i="50"/>
  <c r="AG92" i="50" s="1"/>
  <c r="D28" i="47" s="1"/>
  <c r="D51" i="47" s="1"/>
  <c r="AW63" i="50"/>
  <c r="AW92" i="50" s="1"/>
  <c r="D39" i="47" s="1"/>
  <c r="G39" i="47" s="1"/>
  <c r="BU62" i="10"/>
  <c r="Q62" i="10"/>
  <c r="N87" i="10"/>
  <c r="T93" i="51"/>
  <c r="Z91" i="10"/>
  <c r="C15" i="47" s="1"/>
  <c r="G94" i="51"/>
  <c r="N84" i="10"/>
  <c r="BQ84" i="10"/>
  <c r="BQ91" i="10" s="1"/>
  <c r="D4" i="47" s="1"/>
  <c r="AH84" i="10"/>
  <c r="M97" i="51"/>
  <c r="M102" i="51" s="1"/>
  <c r="R75" i="50"/>
  <c r="W75" i="50" s="1"/>
  <c r="W92" i="50" s="1"/>
  <c r="M100" i="50"/>
  <c r="G94" i="50"/>
  <c r="G102" i="51"/>
  <c r="I108" i="10"/>
  <c r="I106" i="10"/>
  <c r="BU7" i="10"/>
  <c r="G90" i="51"/>
  <c r="U93" i="51"/>
  <c r="F10" i="52"/>
  <c r="G97" i="50"/>
  <c r="G90" i="50"/>
  <c r="N34" i="10"/>
  <c r="F6" i="53"/>
  <c r="F6" i="52"/>
  <c r="F8" i="52"/>
  <c r="F9" i="53"/>
  <c r="AS91" i="10"/>
  <c r="E18" i="47" s="1"/>
  <c r="E22" i="47" s="1"/>
  <c r="BA91" i="10"/>
  <c r="F18" i="47" s="1"/>
  <c r="E8" i="53"/>
  <c r="F8" i="53" s="1"/>
  <c r="L49" i="51"/>
  <c r="L49" i="10"/>
  <c r="L49" i="50"/>
  <c r="J44" i="50"/>
  <c r="J44" i="51"/>
  <c r="J44" i="10"/>
  <c r="B22" i="80"/>
  <c r="X27" i="10"/>
  <c r="N27" i="10"/>
  <c r="BT27" i="10"/>
  <c r="M21" i="10"/>
  <c r="Q21" i="10" s="1"/>
  <c r="M43" i="10"/>
  <c r="J42" i="51"/>
  <c r="J42" i="10"/>
  <c r="J42" i="50"/>
  <c r="V93" i="51"/>
  <c r="M42" i="10"/>
  <c r="BU42" i="10" s="1"/>
  <c r="N64" i="10"/>
  <c r="L77" i="51"/>
  <c r="L77" i="50"/>
  <c r="L77" i="10"/>
  <c r="BT23" i="10"/>
  <c r="V23" i="10"/>
  <c r="N23" i="10"/>
  <c r="L41" i="10"/>
  <c r="L41" i="51"/>
  <c r="L41" i="50"/>
  <c r="B23" i="58"/>
  <c r="J43" i="51"/>
  <c r="J43" i="10"/>
  <c r="J43" i="50"/>
  <c r="B23" i="24"/>
  <c r="B22" i="24"/>
  <c r="N41" i="10"/>
  <c r="BU41" i="10"/>
  <c r="L64" i="51"/>
  <c r="L64" i="50"/>
  <c r="L64" i="10"/>
  <c r="BU77" i="10"/>
  <c r="N77" i="10"/>
  <c r="L27" i="51"/>
  <c r="L27" i="10"/>
  <c r="L27" i="50"/>
  <c r="BU40" i="10"/>
  <c r="N40" i="10"/>
  <c r="B26" i="75"/>
  <c r="M22" i="10"/>
  <c r="Q22" i="10" s="1"/>
  <c r="B25" i="75"/>
  <c r="M44" i="10"/>
  <c r="BU44" i="10" s="1"/>
  <c r="B22" i="39"/>
  <c r="B23" i="39"/>
  <c r="J58" i="51"/>
  <c r="J58" i="10"/>
  <c r="J58" i="50"/>
  <c r="L57" i="10"/>
  <c r="L57" i="51"/>
  <c r="L57" i="50"/>
  <c r="B22" i="58"/>
  <c r="G5" i="53"/>
  <c r="L50" i="10"/>
  <c r="L50" i="51"/>
  <c r="L50" i="50"/>
  <c r="L40" i="51"/>
  <c r="P40" i="51"/>
  <c r="P40" i="50"/>
  <c r="L40" i="10"/>
  <c r="L40" i="50"/>
  <c r="B23" i="80"/>
  <c r="L59" i="51"/>
  <c r="L59" i="10"/>
  <c r="L59" i="50"/>
  <c r="L8" i="10"/>
  <c r="L8" i="51"/>
  <c r="L8" i="50"/>
  <c r="G10" i="53"/>
  <c r="BH91" i="10"/>
  <c r="C6" i="47" s="1"/>
  <c r="F5" i="52"/>
  <c r="L34" i="10"/>
  <c r="L54" i="51"/>
  <c r="L54" i="50"/>
  <c r="L54" i="10"/>
  <c r="BR54" i="10"/>
  <c r="BR91" i="10" s="1"/>
  <c r="D9" i="47" s="1"/>
  <c r="E9" i="47" s="1"/>
  <c r="F9" i="47" s="1"/>
  <c r="AL54" i="10"/>
  <c r="AL91" i="10" s="1"/>
  <c r="D19" i="47" s="1"/>
  <c r="N54" i="10"/>
  <c r="L34" i="51"/>
  <c r="L75" i="51"/>
  <c r="B26" i="57"/>
  <c r="B25" i="57"/>
  <c r="M75" i="10"/>
  <c r="BT34" i="10"/>
  <c r="U34" i="10"/>
  <c r="BT62" i="10"/>
  <c r="U62" i="10"/>
  <c r="N62" i="10"/>
  <c r="BP87" i="10"/>
  <c r="BP91" i="10" s="1"/>
  <c r="D7" i="47" s="1"/>
  <c r="E7" i="47" s="1"/>
  <c r="F7" i="47" s="1"/>
  <c r="AH87" i="10"/>
  <c r="R87" i="10"/>
  <c r="R91" i="10" s="1"/>
  <c r="E9" i="2" s="1"/>
  <c r="G9" i="2" s="1"/>
  <c r="BT87" i="10"/>
  <c r="L51" i="51"/>
  <c r="L51" i="10"/>
  <c r="L51" i="50"/>
  <c r="BJ51" i="10"/>
  <c r="BJ91" i="10" s="1"/>
  <c r="C4" i="47" s="1"/>
  <c r="N51" i="10"/>
  <c r="AF51" i="10"/>
  <c r="AF91" i="10" s="1"/>
  <c r="C21" i="47" s="1"/>
  <c r="G11" i="2"/>
  <c r="F11" i="2"/>
  <c r="F10" i="2"/>
  <c r="G10" i="2"/>
  <c r="G7" i="53"/>
  <c r="F7" i="53"/>
  <c r="G110" i="10" l="1"/>
  <c r="D65" i="47"/>
  <c r="G65" i="47" s="1"/>
  <c r="N38" i="10"/>
  <c r="Q38" i="10"/>
  <c r="BT38" i="10"/>
  <c r="X38" i="10"/>
  <c r="X91" i="10" s="1"/>
  <c r="E15" i="2" s="1"/>
  <c r="M98" i="10"/>
  <c r="Q122" i="51"/>
  <c r="Q133" i="51" s="1"/>
  <c r="E27" i="47"/>
  <c r="C50" i="47"/>
  <c r="D33" i="47"/>
  <c r="C45" i="47"/>
  <c r="H38" i="47" s="1"/>
  <c r="H27" i="47"/>
  <c r="H30" i="47"/>
  <c r="H31" i="47"/>
  <c r="H28" i="47"/>
  <c r="H32" i="47"/>
  <c r="E4" i="53"/>
  <c r="F4" i="53" s="1"/>
  <c r="G102" i="10"/>
  <c r="M102" i="50"/>
  <c r="R92" i="50"/>
  <c r="E4" i="52" s="1"/>
  <c r="G4" i="52" s="1"/>
  <c r="E28" i="47"/>
  <c r="F28" i="47" s="1"/>
  <c r="D45" i="47"/>
  <c r="D62" i="47"/>
  <c r="G62" i="47" s="1"/>
  <c r="R93" i="51"/>
  <c r="D55" i="47"/>
  <c r="E55" i="47" s="1"/>
  <c r="F55" i="47" s="1"/>
  <c r="G66" i="47"/>
  <c r="C22" i="47"/>
  <c r="H15" i="47" s="1"/>
  <c r="G19" i="47"/>
  <c r="D53" i="47"/>
  <c r="C61" i="47"/>
  <c r="E6" i="47"/>
  <c r="F6" i="47" s="1"/>
  <c r="C52" i="47"/>
  <c r="D10" i="47"/>
  <c r="G63" i="47"/>
  <c r="E51" i="47"/>
  <c r="F51" i="47" s="1"/>
  <c r="E54" i="47"/>
  <c r="F54" i="47" s="1"/>
  <c r="C67" i="47"/>
  <c r="G67" i="47" s="1"/>
  <c r="E4" i="47"/>
  <c r="C10" i="47"/>
  <c r="H4" i="47" s="1"/>
  <c r="F22" i="47"/>
  <c r="F64" i="47"/>
  <c r="F68" i="47" s="1"/>
  <c r="D50" i="47"/>
  <c r="H33" i="47"/>
  <c r="H29" i="47"/>
  <c r="G21" i="47"/>
  <c r="G18" i="47"/>
  <c r="E64" i="47"/>
  <c r="U92" i="50"/>
  <c r="E7" i="52" s="1"/>
  <c r="AH91" i="10"/>
  <c r="D15" i="47" s="1"/>
  <c r="G15" i="47" s="1"/>
  <c r="Q93" i="10"/>
  <c r="M97" i="10"/>
  <c r="G102" i="50"/>
  <c r="BU75" i="10"/>
  <c r="M100" i="10"/>
  <c r="M94" i="10"/>
  <c r="N42" i="10"/>
  <c r="G8" i="53"/>
  <c r="BT22" i="10"/>
  <c r="N22" i="10"/>
  <c r="V22" i="10"/>
  <c r="BU43" i="10"/>
  <c r="N43" i="10"/>
  <c r="L58" i="51"/>
  <c r="L58" i="10"/>
  <c r="L58" i="50"/>
  <c r="L44" i="51"/>
  <c r="L44" i="10"/>
  <c r="L44" i="50"/>
  <c r="L43" i="10"/>
  <c r="L43" i="51"/>
  <c r="L43" i="50"/>
  <c r="L42" i="10"/>
  <c r="L42" i="50"/>
  <c r="L42" i="51"/>
  <c r="N44" i="10"/>
  <c r="BT21" i="10"/>
  <c r="V21" i="10"/>
  <c r="N21" i="10"/>
  <c r="F9" i="2"/>
  <c r="E9" i="52"/>
  <c r="BT75" i="10"/>
  <c r="W75" i="10"/>
  <c r="W91" i="10" s="1"/>
  <c r="E14" i="2" s="1"/>
  <c r="N75" i="10"/>
  <c r="U91" i="10"/>
  <c r="E12" i="2" s="1"/>
  <c r="H102" i="10" l="1"/>
  <c r="H111" i="10"/>
  <c r="G15" i="2"/>
  <c r="F15" i="2"/>
  <c r="C56" i="47"/>
  <c r="H53" i="47" s="1"/>
  <c r="Q126" i="51"/>
  <c r="E50" i="47"/>
  <c r="F50" i="47" s="1"/>
  <c r="G4" i="53"/>
  <c r="E33" i="47"/>
  <c r="F33" i="47" s="1"/>
  <c r="F27" i="47"/>
  <c r="H39" i="47"/>
  <c r="H42" i="47"/>
  <c r="H44" i="47"/>
  <c r="H41" i="47"/>
  <c r="G45" i="47"/>
  <c r="H45" i="47"/>
  <c r="H43" i="47"/>
  <c r="H40" i="47"/>
  <c r="F4" i="52"/>
  <c r="G64" i="47"/>
  <c r="E68" i="47"/>
  <c r="D56" i="47"/>
  <c r="H21" i="47"/>
  <c r="E53" i="47"/>
  <c r="F53" i="47" s="1"/>
  <c r="H20" i="47"/>
  <c r="H22" i="47"/>
  <c r="H17" i="47"/>
  <c r="H19" i="47"/>
  <c r="H16" i="47"/>
  <c r="H18" i="47"/>
  <c r="H10" i="47"/>
  <c r="H5" i="47"/>
  <c r="H9" i="47"/>
  <c r="H8" i="47"/>
  <c r="H7" i="47"/>
  <c r="E52" i="47"/>
  <c r="F52" i="47" s="1"/>
  <c r="D22" i="47"/>
  <c r="G22" i="47" s="1"/>
  <c r="D61" i="47"/>
  <c r="E10" i="47"/>
  <c r="F4" i="47"/>
  <c r="F10" i="47" s="1"/>
  <c r="H6" i="47"/>
  <c r="C68" i="47"/>
  <c r="H67" i="47" s="1"/>
  <c r="G7" i="52"/>
  <c r="F7" i="52"/>
  <c r="Q100" i="10"/>
  <c r="Q97" i="10"/>
  <c r="BU91" i="10"/>
  <c r="E4" i="2" s="1"/>
  <c r="E5" i="2" s="1"/>
  <c r="M102" i="10"/>
  <c r="V91" i="10"/>
  <c r="E13" i="2" s="1"/>
  <c r="F13" i="2" s="1"/>
  <c r="BT91" i="10"/>
  <c r="BT92" i="10" s="1"/>
  <c r="E8" i="2" s="1"/>
  <c r="I14" i="2" s="1"/>
  <c r="F14" i="2"/>
  <c r="G14" i="2"/>
  <c r="G9" i="52"/>
  <c r="F9" i="52"/>
  <c r="F12" i="2"/>
  <c r="G12" i="2"/>
  <c r="H54" i="47" l="1"/>
  <c r="H55" i="47"/>
  <c r="H56" i="47"/>
  <c r="H51" i="47"/>
  <c r="H52" i="47"/>
  <c r="H50" i="47"/>
  <c r="H61" i="47"/>
  <c r="H68" i="47"/>
  <c r="H62" i="47"/>
  <c r="H66" i="47"/>
  <c r="H63" i="47"/>
  <c r="H64" i="47"/>
  <c r="H65" i="47"/>
  <c r="D68" i="47"/>
  <c r="G68" i="47" s="1"/>
  <c r="G61" i="47"/>
  <c r="E56" i="47"/>
  <c r="F56" i="47" s="1"/>
  <c r="D4" i="2"/>
  <c r="D5" i="2" s="1"/>
  <c r="G13" i="2"/>
  <c r="I10" i="2"/>
  <c r="I15" i="2"/>
  <c r="I11" i="2"/>
  <c r="I13" i="2"/>
  <c r="I9" i="2"/>
  <c r="I12" i="2"/>
  <c r="G8" i="2"/>
  <c r="I8" i="2"/>
  <c r="F8" i="2"/>
</calcChain>
</file>

<file path=xl/comments1.xml><?xml version="1.0" encoding="utf-8"?>
<comments xmlns="http://schemas.openxmlformats.org/spreadsheetml/2006/main">
  <authors>
    <author>Daniel Conrotte</author>
  </authors>
  <commentList>
    <comment ref="E40" authorId="0">
      <text>
        <r>
          <rPr>
            <b/>
            <sz val="9"/>
            <color indexed="81"/>
            <rFont val="Tahoma"/>
            <family val="2"/>
          </rPr>
          <t>ne rien inscrire dans cette cellule</t>
        </r>
        <r>
          <rPr>
            <sz val="9"/>
            <color indexed="81"/>
            <rFont val="Tahoma"/>
            <family val="2"/>
          </rPr>
          <t xml:space="preserve">
</t>
        </r>
      </text>
    </comment>
  </commentList>
</comments>
</file>

<file path=xl/comments2.xml><?xml version="1.0" encoding="utf-8"?>
<comments xmlns="http://schemas.openxmlformats.org/spreadsheetml/2006/main">
  <authors>
    <author>Daniel Conrotte</author>
  </authors>
  <commentList>
    <comment ref="E40" authorId="0">
      <text>
        <r>
          <rPr>
            <b/>
            <sz val="9"/>
            <color indexed="81"/>
            <rFont val="Tahoma"/>
            <family val="2"/>
          </rPr>
          <t>ne rien inscrire dans cette cellule</t>
        </r>
        <r>
          <rPr>
            <sz val="9"/>
            <color indexed="81"/>
            <rFont val="Tahoma"/>
            <family val="2"/>
          </rPr>
          <t xml:space="preserve">
</t>
        </r>
      </text>
    </comment>
  </commentList>
</comments>
</file>

<file path=xl/comments3.xml><?xml version="1.0" encoding="utf-8"?>
<comments xmlns="http://schemas.openxmlformats.org/spreadsheetml/2006/main">
  <authors>
    <author>Daniel Conrotte</author>
  </authors>
  <commentList>
    <comment ref="E40" authorId="0">
      <text>
        <r>
          <rPr>
            <b/>
            <sz val="9"/>
            <color indexed="81"/>
            <rFont val="Tahoma"/>
            <family val="2"/>
          </rPr>
          <t>ne rien inscrire dans cette cellule</t>
        </r>
        <r>
          <rPr>
            <sz val="9"/>
            <color indexed="81"/>
            <rFont val="Tahoma"/>
            <family val="2"/>
          </rPr>
          <t xml:space="preserve">
</t>
        </r>
      </text>
    </comment>
  </commentList>
</comments>
</file>

<file path=xl/comments4.xml><?xml version="1.0" encoding="utf-8"?>
<comments xmlns="http://schemas.openxmlformats.org/spreadsheetml/2006/main">
  <authors>
    <author>Daniel Conrotte</author>
  </authors>
  <commentList>
    <comment ref="H13" authorId="0">
      <text>
        <r>
          <rPr>
            <b/>
            <sz val="9"/>
            <color indexed="81"/>
            <rFont val="Tahoma"/>
            <family val="2"/>
          </rPr>
          <t>chiffre TRES prudent</t>
        </r>
        <r>
          <rPr>
            <sz val="9"/>
            <color indexed="81"/>
            <rFont val="Tahoma"/>
            <family val="2"/>
          </rPr>
          <t xml:space="preserve">
</t>
        </r>
      </text>
    </comment>
    <comment ref="K13" authorId="0">
      <text>
        <r>
          <rPr>
            <b/>
            <sz val="9"/>
            <color indexed="81"/>
            <rFont val="Tahoma"/>
            <family val="2"/>
          </rPr>
          <t xml:space="preserve">voir ADU-38
</t>
        </r>
        <r>
          <rPr>
            <sz val="9"/>
            <color indexed="81"/>
            <rFont val="Tahoma"/>
            <family val="2"/>
          </rPr>
          <t xml:space="preserve">
</t>
        </r>
      </text>
    </comment>
  </commentList>
</comments>
</file>

<file path=xl/comments5.xml><?xml version="1.0" encoding="utf-8"?>
<comments xmlns="http://schemas.openxmlformats.org/spreadsheetml/2006/main">
  <authors>
    <author>Daniel Conrotte</author>
  </authors>
  <commentList>
    <comment ref="H13" authorId="0">
      <text>
        <r>
          <rPr>
            <b/>
            <sz val="9"/>
            <color indexed="81"/>
            <rFont val="Tahoma"/>
            <family val="2"/>
          </rPr>
          <t>chiffre TRES prudent</t>
        </r>
        <r>
          <rPr>
            <sz val="9"/>
            <color indexed="81"/>
            <rFont val="Tahoma"/>
            <family val="2"/>
          </rPr>
          <t xml:space="preserve">
</t>
        </r>
      </text>
    </comment>
    <comment ref="K13" authorId="0">
      <text>
        <r>
          <rPr>
            <b/>
            <sz val="9"/>
            <color indexed="81"/>
            <rFont val="Tahoma"/>
            <family val="2"/>
          </rPr>
          <t xml:space="preserve">voir ADU-38
</t>
        </r>
        <r>
          <rPr>
            <sz val="9"/>
            <color indexed="81"/>
            <rFont val="Tahoma"/>
            <family val="2"/>
          </rPr>
          <t xml:space="preserve">
</t>
        </r>
      </text>
    </comment>
  </commentList>
</comments>
</file>

<file path=xl/sharedStrings.xml><?xml version="1.0" encoding="utf-8"?>
<sst xmlns="http://schemas.openxmlformats.org/spreadsheetml/2006/main" count="7677" uniqueCount="1002">
  <si>
    <t>Titre de l'action</t>
  </si>
  <si>
    <t>Cible</t>
  </si>
  <si>
    <t>Description</t>
  </si>
  <si>
    <t>Personne de contact</t>
  </si>
  <si>
    <t>Date de lancement</t>
  </si>
  <si>
    <t>Échéance</t>
  </si>
  <si>
    <t>Estimation du coût</t>
  </si>
  <si>
    <t>Subside</t>
  </si>
  <si>
    <t>Gain financier annuel</t>
  </si>
  <si>
    <t>Rentrée financière annuelle liée aux CV</t>
  </si>
  <si>
    <t>-</t>
  </si>
  <si>
    <t>Objectif territorial</t>
  </si>
  <si>
    <t>tCO2éq</t>
  </si>
  <si>
    <t>%</t>
  </si>
  <si>
    <t>Temps de retour sur investissement sans subside (années)</t>
  </si>
  <si>
    <t>Temps de retour sur investissement avec subside (années)</t>
  </si>
  <si>
    <t>Porteur de projet</t>
  </si>
  <si>
    <t>Partenaires potentiels</t>
  </si>
  <si>
    <t>Etat d'avancement</t>
  </si>
  <si>
    <t>A faire</t>
  </si>
  <si>
    <t>En cours</t>
  </si>
  <si>
    <t>Terminé</t>
  </si>
  <si>
    <t>Ne pas réaliser</t>
  </si>
  <si>
    <t>Objectifs spécifiques</t>
  </si>
  <si>
    <t>Autres impacts (socio-économique, etc…)</t>
  </si>
  <si>
    <t>Fiche action</t>
  </si>
  <si>
    <t>Objectif spécifique visé</t>
  </si>
  <si>
    <t>Coût</t>
  </si>
  <si>
    <t>CV</t>
  </si>
  <si>
    <t>TR</t>
  </si>
  <si>
    <t>Réduction des émissions de (tCO2éq/an)</t>
  </si>
  <si>
    <t>Remarques</t>
  </si>
  <si>
    <t>Réalisé</t>
  </si>
  <si>
    <t>Pourcentage des émissions territoriales</t>
  </si>
  <si>
    <t>Pourcentage des émissions du secteur spécifique</t>
  </si>
  <si>
    <t>Logement</t>
  </si>
  <si>
    <t>Citoyens</t>
  </si>
  <si>
    <t>Transport</t>
  </si>
  <si>
    <t>Agriculteurs</t>
  </si>
  <si>
    <t>Agriculture</t>
  </si>
  <si>
    <t>Communal</t>
  </si>
  <si>
    <t>Tertiaire</t>
  </si>
  <si>
    <t>Territorial</t>
  </si>
  <si>
    <t>PAED</t>
  </si>
  <si>
    <t>Engagement d'un Eco-passeur</t>
  </si>
  <si>
    <t>A investiguer</t>
  </si>
  <si>
    <t>Ecoles</t>
  </si>
  <si>
    <t>Objectif</t>
  </si>
  <si>
    <t>Investissement</t>
  </si>
  <si>
    <t>Budget</t>
  </si>
  <si>
    <t>Fonds propres</t>
  </si>
  <si>
    <t>Fonds propres/an</t>
  </si>
  <si>
    <t>Budget par porteur de projet</t>
  </si>
  <si>
    <t>Budget par objectif</t>
  </si>
  <si>
    <t xml:space="preserve">Objectifs </t>
  </si>
  <si>
    <t>Bilan 2006</t>
  </si>
  <si>
    <t>Emissions</t>
  </si>
  <si>
    <t>Elec</t>
  </si>
  <si>
    <t>Gaz nat</t>
  </si>
  <si>
    <t>Prod. Petr.</t>
  </si>
  <si>
    <t>Tous vecteurs</t>
  </si>
  <si>
    <t>Industrie</t>
  </si>
  <si>
    <t>Tous secteurs</t>
  </si>
  <si>
    <t>Commune</t>
  </si>
  <si>
    <t>Bilan 2012</t>
  </si>
  <si>
    <t xml:space="preserve">Prise en compte des installations photovoltaïques privées de puissance &lt; 10 kWc réalisées depuis 2006
</t>
  </si>
  <si>
    <t>T CO2</t>
  </si>
  <si>
    <t>Autres</t>
  </si>
  <si>
    <t>Total secteurs clés de la CoM</t>
  </si>
  <si>
    <t>Emissions totales</t>
  </si>
  <si>
    <t xml:space="preserve">% des émissions </t>
  </si>
  <si>
    <t>% de l'objectif</t>
  </si>
  <si>
    <t>Economie d'énergie annuelle (kWh/an)</t>
  </si>
  <si>
    <t>Production d'énergie renouvelable (kWh/an)</t>
  </si>
  <si>
    <t>Economie d'énergie                 MWh / an</t>
  </si>
  <si>
    <t>Production d'énergie renouvelable      MWh/an</t>
  </si>
  <si>
    <t>MWh</t>
  </si>
  <si>
    <t>Consommation totale</t>
  </si>
  <si>
    <t>Création d'un comité de pilotage</t>
  </si>
  <si>
    <t>Idélux - AIVE</t>
  </si>
  <si>
    <t>Solaire thermique</t>
  </si>
  <si>
    <t>Installation solaires thermiques existantes</t>
  </si>
  <si>
    <t xml:space="preserve">Installations photovoltaïques </t>
  </si>
  <si>
    <t>HABAY</t>
  </si>
  <si>
    <t>industrie</t>
  </si>
  <si>
    <t>Installations photovoltaïques pour habitations privées</t>
  </si>
  <si>
    <t>AC HABAY</t>
  </si>
  <si>
    <t>Commune de HABAY</t>
  </si>
  <si>
    <t>Château de la Trapperie</t>
  </si>
  <si>
    <r>
      <t xml:space="preserve">Remise en service en 2009 d'un site hydro-électrique existant, avec nouvelle turbine crossflow et dispositif de raccordement au réseau. Puissance </t>
    </r>
    <r>
      <rPr>
        <sz val="12"/>
        <color rgb="FF003742"/>
        <rFont val="Calibri"/>
        <family val="2"/>
      </rPr>
      <t>± 35kW</t>
    </r>
    <r>
      <rPr>
        <sz val="12"/>
        <color rgb="FF003742"/>
        <rFont val="Calibri"/>
        <family val="2"/>
        <scheme val="minor"/>
      </rPr>
      <t xml:space="preserve">
</t>
    </r>
  </si>
  <si>
    <t>ADU-1</t>
  </si>
  <si>
    <t>ADU-3</t>
  </si>
  <si>
    <t>ADU-2</t>
  </si>
  <si>
    <t>Logement privé</t>
  </si>
  <si>
    <t xml:space="preserve"> litre</t>
  </si>
  <si>
    <t>ADU-12</t>
  </si>
  <si>
    <t>Eclairage économique</t>
  </si>
  <si>
    <t>Via une centrale d'achat, permettre aux citoyens de s'équiper de luminaires à faible consommation</t>
  </si>
  <si>
    <t>ADU-13</t>
  </si>
  <si>
    <t>Chaudières à condensation</t>
  </si>
  <si>
    <t>Estimation de gain en rendement: 10 %</t>
  </si>
  <si>
    <t>ADU-14</t>
  </si>
  <si>
    <t>Changement de vecteur énergétique pour le chauffage</t>
  </si>
  <si>
    <t>Estimation de réduction en énergie fossile: moyenne de 1500 l / chaudière</t>
  </si>
  <si>
    <t>ADU-15</t>
  </si>
  <si>
    <t>Installations photovoltaïques</t>
  </si>
  <si>
    <t>ADU-16</t>
  </si>
  <si>
    <t>bâtiments communaux</t>
  </si>
  <si>
    <t>Installations photovoltaïques pour les bâtiments communaux</t>
  </si>
  <si>
    <t>ADU-17</t>
  </si>
  <si>
    <t>Mise en place d'installations PhV pour une puissance totale de 100 kWc</t>
  </si>
  <si>
    <t>bâtiments industriels</t>
  </si>
  <si>
    <t>Installations photovoltaïques pour les bâtiments industriels</t>
  </si>
  <si>
    <t>Mise en place d'installations PhV pour une puissance totale de 300 kWc</t>
  </si>
  <si>
    <t>ADU-18</t>
  </si>
  <si>
    <t>Mise en place d'installations PhV pour une puissance totale de 1.000 kWc</t>
  </si>
  <si>
    <t>bâtiments agricoles</t>
  </si>
  <si>
    <t>Installations photovoltaïques pour les bâtiments agricoles</t>
  </si>
  <si>
    <t>ADU-19</t>
  </si>
  <si>
    <t>bâtiments tertiaires</t>
  </si>
  <si>
    <t>Installations photovoltaïques pour les bâtiments tertiaires</t>
  </si>
  <si>
    <t>ADU-20</t>
  </si>
  <si>
    <t>ADU-21</t>
  </si>
  <si>
    <t>ADU-22</t>
  </si>
  <si>
    <t>ADU-23</t>
  </si>
  <si>
    <t xml:space="preserve">Installation solaires thermiques </t>
  </si>
  <si>
    <t xml:space="preserve">Installation d'une centrale de production de biogaz </t>
  </si>
  <si>
    <t>Centrale biogaz alimentée par les lisiers et fumiers du bétail.</t>
  </si>
  <si>
    <t>Prise en compte de 3.000 têtes, soit un potentiel brut de 7.800 MWh</t>
  </si>
  <si>
    <t>ADU-24</t>
  </si>
  <si>
    <t>ADU-25</t>
  </si>
  <si>
    <t>Biogaz sur cultures dédiées</t>
  </si>
  <si>
    <t>Installation biogaz alimentée avec les produits de 140 ha de cultures dédiées</t>
  </si>
  <si>
    <t>Formation à l'éco-conduite</t>
  </si>
  <si>
    <t>ADU-30</t>
  </si>
  <si>
    <t>Covoiturage</t>
  </si>
  <si>
    <t>gain conso</t>
  </si>
  <si>
    <t>conducteur</t>
  </si>
  <si>
    <t>km</t>
  </si>
  <si>
    <t>conso</t>
  </si>
  <si>
    <t>km évités</t>
  </si>
  <si>
    <t>Véhicules de service</t>
  </si>
  <si>
    <t>Remplacement de 6 véhicules de service par des voitures électriques</t>
  </si>
  <si>
    <t>ADU-31</t>
  </si>
  <si>
    <t>ADU-32</t>
  </si>
  <si>
    <t>Voitures électriques</t>
  </si>
  <si>
    <t>ADU-33</t>
  </si>
  <si>
    <t>Borne de recharge</t>
  </si>
  <si>
    <t>ADU-35</t>
  </si>
  <si>
    <t>ADU-34</t>
  </si>
  <si>
    <t>Ramassage scolaire</t>
  </si>
  <si>
    <t>11 installations pour 66 m²</t>
  </si>
  <si>
    <t>Réseau de chaleur</t>
  </si>
  <si>
    <t>Réseau de chaleur pour divers bâtiments communaux</t>
  </si>
  <si>
    <t>conso mazout</t>
  </si>
  <si>
    <t>kWh</t>
  </si>
  <si>
    <t>ADU-5</t>
  </si>
  <si>
    <t>ADU-6</t>
  </si>
  <si>
    <t>Mini réseau de chaleur</t>
  </si>
  <si>
    <t>Mini réseau de chaleur pour divers bâtiments communaux</t>
  </si>
  <si>
    <t>coef mazout</t>
  </si>
  <si>
    <t>prix mazout</t>
  </si>
  <si>
    <t>ADU-7</t>
  </si>
  <si>
    <t>Projets d'isolation</t>
  </si>
  <si>
    <t>Ensemble des projets d'isolation de bâtiments communaux</t>
  </si>
  <si>
    <t>Projets et réalisation de travaux d'isolation dans les bâtiments communaux depuis 2007 à ce jour, inclus les derniers dossiers UREBA acceptés par la RW</t>
  </si>
  <si>
    <t>ADU-8</t>
  </si>
  <si>
    <t>Projets de remplacement de chaudière</t>
  </si>
  <si>
    <t>Ensemble des projets de remplacement de chaudière dans les bâtiments communaux</t>
  </si>
  <si>
    <t>Economie en énergie fossile: 3.550 l</t>
  </si>
  <si>
    <t>ADU-9</t>
  </si>
  <si>
    <t>Réduction de la consommation électrique</t>
  </si>
  <si>
    <t>Ensemble des projets de réduction de consommation électrique dans les bâtiments communaux</t>
  </si>
  <si>
    <t>Ensemble des projets visant à la réduction de consommation électrique, via changement de luminaires, etc, de 2007 à ce jour, inclus les derniers dossiers UREBA acceptés par la RW</t>
  </si>
  <si>
    <t>Economie en énergie 18080 kWh</t>
  </si>
  <si>
    <t>prix kWh</t>
  </si>
  <si>
    <t xml:space="preserve">économies kWh </t>
  </si>
  <si>
    <t>AC Tintigny - AC Etalle</t>
  </si>
  <si>
    <t>Centrale d'achat</t>
  </si>
  <si>
    <t>Mise en place d'une centrale d'achat</t>
  </si>
  <si>
    <t>ADO-5</t>
  </si>
  <si>
    <t>ADO-1</t>
  </si>
  <si>
    <t>ADO-2</t>
  </si>
  <si>
    <t>ADO-3</t>
  </si>
  <si>
    <t>URE</t>
  </si>
  <si>
    <t>Sensibilisation du grand public aux URE - chaleur</t>
  </si>
  <si>
    <t>nbre logts actifs</t>
  </si>
  <si>
    <t>potentiel éco</t>
  </si>
  <si>
    <t>conso Logement</t>
  </si>
  <si>
    <t>coef mix</t>
  </si>
  <si>
    <t>ADO-4</t>
  </si>
  <si>
    <t>Sensibilisation du grand public aux URE - électricité</t>
  </si>
  <si>
    <t>nbre ménages</t>
  </si>
  <si>
    <t>Economie en énergie fossile: 13.700 l</t>
  </si>
  <si>
    <t>Projets et réalisation de travaux de remplacement de systèmes de chauffe dans les bâtiments communaux depuis 2007 à ce jour, inclus les derniers dossiers UREBA acceptés par la RW. Inclus les projets avec conservation et changement de vecteur énergétique</t>
  </si>
  <si>
    <t>Economie en énergie fossile: 45.500 l</t>
  </si>
  <si>
    <t>ADU-113</t>
  </si>
  <si>
    <t>Rénovation - isolation de logements privés - Toitures</t>
  </si>
  <si>
    <t>Logements</t>
  </si>
  <si>
    <t>cout/m²</t>
  </si>
  <si>
    <t>m² total</t>
  </si>
  <si>
    <t>prix l fuel</t>
  </si>
  <si>
    <t>émission pétrole</t>
  </si>
  <si>
    <t>nbre logement</t>
  </si>
  <si>
    <t>potentiel éco %</t>
  </si>
  <si>
    <t>toits</t>
  </si>
  <si>
    <t>murs</t>
  </si>
  <si>
    <t>fenêtres</t>
  </si>
  <si>
    <t>Rénovation - isolation de logements privés - Murs extérieurs</t>
  </si>
  <si>
    <t>Rénovation - isolation de logements privés - vitrages</t>
  </si>
  <si>
    <t>ADU-111</t>
  </si>
  <si>
    <t>ADU-112</t>
  </si>
  <si>
    <t>% éco</t>
  </si>
  <si>
    <t>Emission pétrole</t>
  </si>
  <si>
    <t>nbre de luminaires</t>
  </si>
  <si>
    <t>p moyenne avant W</t>
  </si>
  <si>
    <t>h util / j</t>
  </si>
  <si>
    <t>émissions élec</t>
  </si>
  <si>
    <t>€/pce</t>
  </si>
  <si>
    <t>nbre chaudières</t>
  </si>
  <si>
    <t>conso moyenne L</t>
  </si>
  <si>
    <t>économie</t>
  </si>
  <si>
    <t>conso Logement MWh</t>
  </si>
  <si>
    <t>prix chaudière</t>
  </si>
  <si>
    <t>nbre installations</t>
  </si>
  <si>
    <t>P installation</t>
  </si>
  <si>
    <t>kWh/m²/an</t>
  </si>
  <si>
    <t>émission élec RN</t>
  </si>
  <si>
    <t>Wc/instl</t>
  </si>
  <si>
    <t>prix/Wc</t>
  </si>
  <si>
    <t>P total kWc</t>
  </si>
  <si>
    <t>nbre éoliennes</t>
  </si>
  <si>
    <t>P unit kW</t>
  </si>
  <si>
    <t>% charge</t>
  </si>
  <si>
    <t>pv élec</t>
  </si>
  <si>
    <t>prix CV</t>
  </si>
  <si>
    <t xml:space="preserve">jours </t>
  </si>
  <si>
    <t>heures</t>
  </si>
  <si>
    <t>cout/MW</t>
  </si>
  <si>
    <t>ADU-29</t>
  </si>
  <si>
    <t>nbre instal</t>
  </si>
  <si>
    <t>surf / instal</t>
  </si>
  <si>
    <t>P utile kW/an/m²</t>
  </si>
  <si>
    <t>prime / instal</t>
  </si>
  <si>
    <t>prix/m²</t>
  </si>
  <si>
    <t>nbre têtes</t>
  </si>
  <si>
    <t>kWh/tête</t>
  </si>
  <si>
    <t>rendement ttl</t>
  </si>
  <si>
    <t>part élec %</t>
  </si>
  <si>
    <t>part chaleur %</t>
  </si>
  <si>
    <t>kWh élec</t>
  </si>
  <si>
    <t>kWh chaleur</t>
  </si>
  <si>
    <t>prix élc</t>
  </si>
  <si>
    <t>nbre ha</t>
  </si>
  <si>
    <t>MWh/ha</t>
  </si>
  <si>
    <t>Diagnostics énergétiques d'exploitations agricoles</t>
  </si>
  <si>
    <t>nbre exploit</t>
  </si>
  <si>
    <t>exploit actif</t>
  </si>
  <si>
    <t>élec</t>
  </si>
  <si>
    <t>pétrole</t>
  </si>
  <si>
    <t>% réduction</t>
  </si>
  <si>
    <t>émiss pétrole</t>
  </si>
  <si>
    <t>émiss élec</t>
  </si>
  <si>
    <t>coût audit</t>
  </si>
  <si>
    <t>subside</t>
  </si>
  <si>
    <t>Processus de fabrication</t>
  </si>
  <si>
    <t>Réduction des consommations des processus de fabrication</t>
  </si>
  <si>
    <t>25 % d'économies dans 25 % des industries</t>
  </si>
  <si>
    <t>énergie élec</t>
  </si>
  <si>
    <t>énergie pétrole</t>
  </si>
  <si>
    <t>% économie</t>
  </si>
  <si>
    <t>% industrie</t>
  </si>
  <si>
    <t>coef élec</t>
  </si>
  <si>
    <t>Hypothèse: 50 % de gains en chaleur / 50 % de gains en électricité</t>
  </si>
  <si>
    <t>prix élec</t>
  </si>
  <si>
    <t>ADU-26</t>
  </si>
  <si>
    <t>ADU-27</t>
  </si>
  <si>
    <t xml:space="preserve"> Chauffage d'appoint et changement de vecteur énergétique </t>
  </si>
  <si>
    <t>Installation  de 60 poêles à pellets / plaquettes / bûches</t>
  </si>
  <si>
    <t>nbre poêles</t>
  </si>
  <si>
    <t>éco moyenne L</t>
  </si>
  <si>
    <t>prix poêle</t>
  </si>
  <si>
    <t>éco énergie</t>
  </si>
  <si>
    <t>Installation biogaz alimentée par les lisiers et fumiers du bétail d'une petite exploitation.</t>
  </si>
  <si>
    <t>Prise en compte de 90 têtes, soit un potentiel brut de 234 MWh</t>
  </si>
  <si>
    <t>Installations</t>
  </si>
  <si>
    <t>Têtes / instal</t>
  </si>
  <si>
    <t>ADU-28</t>
  </si>
  <si>
    <t>nbre conducteurs</t>
  </si>
  <si>
    <t>km/an</t>
  </si>
  <si>
    <t>conso /100 km</t>
  </si>
  <si>
    <t>prix  1 l diesel</t>
  </si>
  <si>
    <t>coût formation</t>
  </si>
  <si>
    <t>litres</t>
  </si>
  <si>
    <t>km moy</t>
  </si>
  <si>
    <t>jours/an</t>
  </si>
  <si>
    <t>nbre voiture</t>
  </si>
  <si>
    <t>km moy/an</t>
  </si>
  <si>
    <t>prix L diesel</t>
  </si>
  <si>
    <t>rendement thermique</t>
  </si>
  <si>
    <t>rendement élec</t>
  </si>
  <si>
    <t>émission élec</t>
  </si>
  <si>
    <t>cout diesel</t>
  </si>
  <si>
    <t>cout élec</t>
  </si>
  <si>
    <t>énergie diesel</t>
  </si>
  <si>
    <t>énergie utile diesel</t>
  </si>
  <si>
    <t xml:space="preserve">énergie utile élec </t>
  </si>
  <si>
    <t>€</t>
  </si>
  <si>
    <t>ADO-6</t>
  </si>
  <si>
    <t>ADO-7</t>
  </si>
  <si>
    <t>Informations spécifiques aux agriculteurs</t>
  </si>
  <si>
    <t>Organisation de réunions d'information, distribution de documentation permettant aux agriculteurs de bien cerner leurs potentiels de production d'énergie, en valorisant leurs déchets, notamment.</t>
  </si>
  <si>
    <t>Entreprises tous secteurs</t>
  </si>
  <si>
    <t>Information aux entreprises</t>
  </si>
  <si>
    <t>Avec l'appui du facilitateur wallon des entreprises, fournir aux sociétés, aux artisans des informations pour leur permettre de réduire leur consommation énergétique ou de produire des énergies renouvelables</t>
  </si>
  <si>
    <t>ADO-10</t>
  </si>
  <si>
    <t>ADO-9</t>
  </si>
  <si>
    <t>ADO-8</t>
  </si>
  <si>
    <t>enfants</t>
  </si>
  <si>
    <t>jours</t>
  </si>
  <si>
    <t>km/jour</t>
  </si>
  <si>
    <t>prix diesel</t>
  </si>
  <si>
    <t>prix vélo</t>
  </si>
  <si>
    <t>nbre vélos</t>
  </si>
  <si>
    <t>conso évitée</t>
  </si>
  <si>
    <t>Pc kW</t>
  </si>
  <si>
    <t>production kWc</t>
  </si>
  <si>
    <t>coût €/Wc</t>
  </si>
  <si>
    <t xml:space="preserve">prix élec </t>
  </si>
  <si>
    <t>m² moyen</t>
  </si>
  <si>
    <t>prix cv</t>
  </si>
  <si>
    <t>prod / kwc</t>
  </si>
  <si>
    <t>L'économie d'énergie annuelle =</t>
  </si>
  <si>
    <t>Tableau synthèse des primes communales octroyées</t>
  </si>
  <si>
    <t xml:space="preserve">(U x S x Tm) / ɳ x durée de chauffe  </t>
  </si>
  <si>
    <t>ISOLATION TOIT - Gain standard kWh / m²</t>
  </si>
  <si>
    <r>
      <t xml:space="preserve">E = </t>
    </r>
    <r>
      <rPr>
        <sz val="14"/>
        <color theme="1"/>
        <rFont val="Calibri"/>
        <family val="2"/>
      </rPr>
      <t>Δ</t>
    </r>
    <r>
      <rPr>
        <sz val="14"/>
        <color theme="1"/>
        <rFont val="Calibri"/>
        <family val="2"/>
        <scheme val="minor"/>
      </rPr>
      <t>U x S x (Ti-RW-RN) x Jc/ɳ</t>
    </r>
  </si>
  <si>
    <t>Paramètres</t>
  </si>
  <si>
    <t>Montant</t>
  </si>
  <si>
    <t>Primes</t>
  </si>
  <si>
    <t>Réduction</t>
  </si>
  <si>
    <t>% déperd</t>
  </si>
  <si>
    <t>heures chauffe</t>
  </si>
  <si>
    <t>RW</t>
  </si>
  <si>
    <t>m²</t>
  </si>
  <si>
    <t>U avant</t>
  </si>
  <si>
    <t>U après</t>
  </si>
  <si>
    <t>T° moy I</t>
  </si>
  <si>
    <t>T° moy E</t>
  </si>
  <si>
    <r>
      <rPr>
        <sz val="11"/>
        <color theme="1"/>
        <rFont val="Calibri"/>
        <family val="2"/>
      </rPr>
      <t xml:space="preserve">ɳ </t>
    </r>
    <r>
      <rPr>
        <sz val="11"/>
        <color theme="1"/>
        <rFont val="Calibri"/>
        <family val="2"/>
        <scheme val="minor"/>
      </rPr>
      <t>global</t>
    </r>
  </si>
  <si>
    <t>KWh/m²</t>
  </si>
  <si>
    <t>Calcul des valeurs standards</t>
  </si>
  <si>
    <t>La rentabilité de l'isolation d'une paroi</t>
  </si>
  <si>
    <t>•Évaluation de l'économie énergétique annuelle engendrée par l'isolation d'une paroi</t>
  </si>
  <si>
    <t>•Évaluation de la rentabilité d'une isolation de paroi</t>
  </si>
  <si>
    <t xml:space="preserve">Attention ! </t>
  </si>
  <si>
    <t xml:space="preserve">L'évaluation ci-dessous est applicable à d'anciens bâtiments non climatisés. Elle n'est pas valable pour des bâtiments neufs bien isolés et climatisés. </t>
  </si>
  <si>
    <t xml:space="preserve">Calculs </t>
  </si>
  <si>
    <t xml:space="preserve">Si vous voulez accéder à un programme de calcul qui effectue les calculs ci-dessous, cliquez ici. </t>
  </si>
  <si>
    <t xml:space="preserve">Évaluation de l'économie énergétique annuelle engendrée par l'isolation d'une paroi en contact avec l'extérieur </t>
  </si>
  <si>
    <t>Principe de base</t>
  </si>
  <si>
    <t xml:space="preserve">On détermine une température moyenne intérieure et une température moyenne extérieure pour la saison de chauffe. </t>
  </si>
  <si>
    <t xml:space="preserve">La quantité de chaleur traversant 1 m² de paroi donnée est alors estimée avant et après isolation. </t>
  </si>
  <si>
    <t xml:space="preserve">L'économie d'énergie annuelle par unité de surface de déperdition est la différence entre les 2 pertes de chaleur durant la saison de chauffe. </t>
  </si>
  <si>
    <t>Économie d'énergie annuelle</t>
  </si>
  <si>
    <t xml:space="preserve">((U x S x Tm) / ) x durée de chauffe  </t>
  </si>
  <si>
    <t xml:space="preserve">avec, </t>
  </si>
  <si>
    <r>
      <t>•</t>
    </r>
    <r>
      <rPr>
        <sz val="11"/>
        <color theme="1"/>
        <rFont val="Calibri"/>
        <family val="2"/>
      </rPr>
      <t>Δ</t>
    </r>
    <r>
      <rPr>
        <sz val="11"/>
        <color theme="1"/>
        <rFont val="Calibri"/>
        <family val="2"/>
        <scheme val="minor"/>
      </rPr>
      <t>U = la différence entre le coefficient de transmission thermique de la paroi avant et après isolation de celle-ci [W/m²xK]</t>
    </r>
  </si>
  <si>
    <t>•S = la surface de la paroi; elle est fixée à 1 m²</t>
  </si>
  <si>
    <t>•Tm = Tint. moy. - Text. moy. = écart entre les températures moyennes intérieures et extérieures</t>
  </si>
  <si>
    <t>•ɳ  = rendement global de l'installation de chauffage</t>
  </si>
  <si>
    <t>http://www.energieplus-lesite.be/index.php?id=10234</t>
  </si>
  <si>
    <t>ISOLATION MURS - Gain standard kWh / m²</t>
  </si>
  <si>
    <t>Jours chauffe</t>
  </si>
  <si>
    <t>ISOLATION SOL - Gain standard kWh / m²</t>
  </si>
  <si>
    <t>ISOLATION FENÊTRE- Gain standard kWh / m²</t>
  </si>
  <si>
    <t>AC Wellin</t>
  </si>
  <si>
    <t>SYSTEMES DE CHAUFFAGE</t>
  </si>
  <si>
    <t>Chaudière bio</t>
  </si>
  <si>
    <t>Chaudière HR/condens</t>
  </si>
  <si>
    <t>PAC</t>
  </si>
  <si>
    <t>SOL TH</t>
  </si>
  <si>
    <t>Régul</t>
  </si>
  <si>
    <t>Vanne Th°</t>
  </si>
  <si>
    <t>kW</t>
  </si>
  <si>
    <t>Résumé actions citoyennes 2006 - 2014</t>
  </si>
  <si>
    <t>ISOLATION</t>
  </si>
  <si>
    <t>SYSTEMES DE CHAUFFE</t>
  </si>
  <si>
    <t>REGULATION</t>
  </si>
  <si>
    <t>TOIT</t>
  </si>
  <si>
    <t>MUR</t>
  </si>
  <si>
    <t>SOL</t>
  </si>
  <si>
    <t>FENËTRE</t>
  </si>
  <si>
    <t>CHAUD. BIO</t>
  </si>
  <si>
    <t>CHAUD. HR</t>
  </si>
  <si>
    <t>TOTAL</t>
  </si>
  <si>
    <t>L fuel</t>
  </si>
  <si>
    <t>Invest</t>
  </si>
  <si>
    <t>Subs RW</t>
  </si>
  <si>
    <t>Pétrole Logement 2006</t>
  </si>
  <si>
    <t>b</t>
  </si>
  <si>
    <t>Ménages</t>
  </si>
  <si>
    <t>Moyenne</t>
  </si>
  <si>
    <t xml:space="preserve">Réduction de consommation </t>
  </si>
  <si>
    <t>Concerne les travaux d'isolation , changement de chassis, implantation de chaudière biomasse, chaudière HR, PAC, etc. réalisé de fin 2006 à 08/2014</t>
  </si>
  <si>
    <t>ADU-61</t>
  </si>
  <si>
    <t>ADU-110</t>
  </si>
  <si>
    <t>Sols</t>
  </si>
  <si>
    <t>ADO-11</t>
  </si>
  <si>
    <t>ADU-10</t>
  </si>
  <si>
    <t>% de réduction des émissions par secteur</t>
  </si>
  <si>
    <t>kWh économisé moyen</t>
  </si>
  <si>
    <t>conso Logement Pétrole</t>
  </si>
  <si>
    <t>conso Logement Autres</t>
  </si>
  <si>
    <t xml:space="preserve">Objectif moyen de réduction de consommation : 2576 kWh </t>
  </si>
  <si>
    <t xml:space="preserve">Objectif moyen de réduction de consommation : 4808 kWh </t>
  </si>
  <si>
    <t xml:space="preserve">Objectif moyen de réduction de consommation : 4293 kWh </t>
  </si>
  <si>
    <t xml:space="preserve">Objectif moyen de réduction de consommation : 1717 kWh </t>
  </si>
  <si>
    <t>Indicateur de suivi</t>
  </si>
  <si>
    <t>Formation et Information</t>
  </si>
  <si>
    <t>Formation Eco Guide - Energie</t>
  </si>
  <si>
    <t>8 séances théoriques et pratiques</t>
  </si>
  <si>
    <t>Nombre de séances organisées - Objectif: 1</t>
  </si>
  <si>
    <t>Nombre de séances organisées - Objectif: 9</t>
  </si>
  <si>
    <t>Nombre d'achats groupés organisés - Objectif: 3</t>
  </si>
  <si>
    <t>Nombre d'actions de communication - Objectif: 10</t>
  </si>
  <si>
    <t>Nombre d'actions de communication - Objectif: 5</t>
  </si>
  <si>
    <t>Source: Enquête communale</t>
  </si>
  <si>
    <t>Nombre de chaudières remplacées - Objectif: 50</t>
  </si>
  <si>
    <t>Source: CWaPE</t>
  </si>
  <si>
    <t>sources: http://www.ef4.be/documents/eloral_images/qualiwatt-les-derniers-developpements-reglementaires-et-les-details-pratiques-de-la-mise-en-oeuvre-du-systeme-de-soutien.pdf</t>
  </si>
  <si>
    <t>Exemple CWAPE (Qualiwatt)</t>
  </si>
  <si>
    <t>Puissance installée (kWc)</t>
  </si>
  <si>
    <t>[1] Investissement</t>
  </si>
  <si>
    <t>[2] Economie sur 8 ans</t>
  </si>
  <si>
    <t>[3] Coût d'entretien sur 8 ans</t>
  </si>
  <si>
    <t>Prime Qualitwatt = [1] - [2] + [3]</t>
  </si>
  <si>
    <t>http://www.cwape.be/docs/?doc=1459</t>
  </si>
  <si>
    <t>Nombre de CV par MWH</t>
  </si>
  <si>
    <t>Dans l'attente de la définition du nouveau régime d'octroi de CV pour les installations  de puissance &gt;10 kW (facteur k ECO), nous appliquons le régime d'octroi valable jusqu'au 31/12/2014</t>
  </si>
  <si>
    <t>Puissance totale des nouvelles installations photovoltaïques - Objectif: 300 kWc</t>
  </si>
  <si>
    <t>Puissance totale des nouvelles installations photovoltaïques - Objectif: 1000 kWc</t>
  </si>
  <si>
    <t>Source: CWaPE (cumuler avec l'indicateur de la fiche ADU-16)</t>
  </si>
  <si>
    <t>Puissance électrique de l'unité de biométhanisation - Objectif: 200 kW</t>
  </si>
  <si>
    <t>Source: Porteur de projet</t>
  </si>
  <si>
    <t>Nombre d'exploitations participant concrètement - Objectif: 10</t>
  </si>
  <si>
    <t>Nombre d'industries participant concrètement - Objectif: 25%</t>
  </si>
  <si>
    <t>Nombre de poêles installés - Objectif: 60</t>
  </si>
  <si>
    <t>Nombre total de participants aux séances d'information- Objectif: 100</t>
  </si>
  <si>
    <t>Source: Comptage sur site</t>
  </si>
  <si>
    <t>valeur CV €</t>
  </si>
  <si>
    <t>coût /installation</t>
  </si>
  <si>
    <t>nbre ménages actifs</t>
  </si>
  <si>
    <t>conso  pétrole Logement</t>
  </si>
  <si>
    <t>conso  Autres Logement</t>
  </si>
  <si>
    <t>coef pétrole</t>
  </si>
  <si>
    <t>Prime</t>
  </si>
  <si>
    <t xml:space="preserve">Valorisation des déchets </t>
  </si>
  <si>
    <t>Part communale des centrales biogaz IDELUX</t>
  </si>
  <si>
    <t xml:space="preserve">Prise en compte des énergies produites par:                  Le CET de Tenneville (biométhanisation sur base des déchets ménagers + séchage de boues combustibles - PCI = 4,3 kWh / kg)                                                                                                                Le site de Habay (biométhanisation sur base des déchets encombrants ou non recyclable) .                     Les quantités d'énergie sont calculées au prorata du nombre d'habitants de chaque Commune.          </t>
  </si>
  <si>
    <t>Q chaleur</t>
  </si>
  <si>
    <t>Q élec</t>
  </si>
  <si>
    <t>Quantité de chaleur: 846561 kWh   -   quantité d'électricité: 285348 kWh</t>
  </si>
  <si>
    <t>% des émissions du secteur spécifique</t>
  </si>
  <si>
    <t>% des émissions territoriales</t>
  </si>
  <si>
    <t>TRS sans subside (années)</t>
  </si>
  <si>
    <t>TRS avec subside (années)</t>
  </si>
  <si>
    <t>Production d'énergie renouvelable kWh/an</t>
  </si>
  <si>
    <t>Economie d'énergie annuelle kWh/an</t>
  </si>
  <si>
    <t>Secteur</t>
  </si>
  <si>
    <t>Energie éolienne</t>
  </si>
  <si>
    <t>Participation d'Idélux dans les parcs éoliens</t>
  </si>
  <si>
    <t>hab province</t>
  </si>
  <si>
    <t>hab commune</t>
  </si>
  <si>
    <t>prod totale</t>
  </si>
  <si>
    <t>coef elec</t>
  </si>
  <si>
    <t xml:space="preserve">Réduction des émissions de T CO2 </t>
  </si>
  <si>
    <t>ADU-40</t>
  </si>
  <si>
    <t>ADU-39</t>
  </si>
  <si>
    <t>ADU-38</t>
  </si>
  <si>
    <t>ADU-37</t>
  </si>
  <si>
    <t>Il s'agit de la part communale, au prorata du nombre d'habitants, des productions éoliennes de 2 parcs ayant fait l'objet d'investissement de la part d'IDELUX - SOFILUX</t>
  </si>
  <si>
    <t>Parcs: Bastogne 1 et Hondelange</t>
  </si>
  <si>
    <t>Investissement Territoire</t>
  </si>
  <si>
    <t xml:space="preserve">Invest agriculture </t>
  </si>
  <si>
    <t xml:space="preserve">Invest industrie </t>
  </si>
  <si>
    <t xml:space="preserve">Invest logement </t>
  </si>
  <si>
    <t xml:space="preserve">invest tertiaire </t>
  </si>
  <si>
    <t xml:space="preserve">invest transport </t>
  </si>
  <si>
    <t>Invests Commune</t>
  </si>
  <si>
    <t>Subside Territoire</t>
  </si>
  <si>
    <t xml:space="preserve">Subside agriculture </t>
  </si>
  <si>
    <t xml:space="preserve">Subside industrie </t>
  </si>
  <si>
    <t xml:space="preserve">Subside logement </t>
  </si>
  <si>
    <t xml:space="preserve">Subside tertiaire </t>
  </si>
  <si>
    <t xml:space="preserve">Subside transport </t>
  </si>
  <si>
    <t>Subside Commune</t>
  </si>
  <si>
    <t>GF Territoire</t>
  </si>
  <si>
    <t xml:space="preserve">GFagriculture </t>
  </si>
  <si>
    <t>CVTerritoire</t>
  </si>
  <si>
    <t xml:space="preserve">CV agriculture </t>
  </si>
  <si>
    <t xml:space="preserve">CV industrie </t>
  </si>
  <si>
    <t xml:space="preserve">CV logement </t>
  </si>
  <si>
    <t xml:space="preserve">CV  tertiaire </t>
  </si>
  <si>
    <t xml:space="preserve">CV  transport </t>
  </si>
  <si>
    <t>CV Commune</t>
  </si>
  <si>
    <t>Porteur Agriculture</t>
  </si>
  <si>
    <t>Porteur Industrie</t>
  </si>
  <si>
    <t>Porteur Citoyen</t>
  </si>
  <si>
    <t>Porteur IDELUX</t>
  </si>
  <si>
    <t>Porteur Tertiaire</t>
  </si>
  <si>
    <t>Porteur AC HABAY</t>
  </si>
  <si>
    <t>Citoyen</t>
  </si>
  <si>
    <t>Tous publics</t>
  </si>
  <si>
    <t>Analyse thermographique</t>
  </si>
  <si>
    <t>Mise en prêt d'une caméra thermographique pour permettre aux citoyens de visualiser le degré d'isolation de leur maison.</t>
  </si>
  <si>
    <t>Prix/m²</t>
  </si>
  <si>
    <t>prime/ instal</t>
  </si>
  <si>
    <t>IDELUX</t>
  </si>
  <si>
    <t>Données Solwatt 02 2015: 2.870kWc - 2.431.926 kWh produits/an</t>
  </si>
  <si>
    <t>avis membres</t>
  </si>
  <si>
    <t>coût</t>
  </si>
  <si>
    <t>impact co2</t>
  </si>
  <si>
    <t>nombre de personnes atteintes</t>
  </si>
  <si>
    <t>redistributif - cohésion sociale</t>
  </si>
  <si>
    <t>temps d'exécution</t>
  </si>
  <si>
    <t>porteur de projet identifié ?</t>
  </si>
  <si>
    <t>gain financier - TRS</t>
  </si>
  <si>
    <t>valorisation des ressources locales</t>
  </si>
  <si>
    <t>création d'emplois</t>
  </si>
  <si>
    <t>CRITERES</t>
  </si>
  <si>
    <t>TABLEAU RESUME</t>
  </si>
  <si>
    <t>NOMS</t>
  </si>
  <si>
    <t>N. MONFORT</t>
  </si>
  <si>
    <t>MOYENNE</t>
  </si>
  <si>
    <t>Intéressant</t>
  </si>
  <si>
    <t>intérêt moyen</t>
  </si>
  <si>
    <t>peu - pas intéressant</t>
  </si>
  <si>
    <t>Poids</t>
  </si>
  <si>
    <t>Positif</t>
  </si>
  <si>
    <t>Négatif</t>
  </si>
  <si>
    <t>Evaluation du Total</t>
  </si>
  <si>
    <t>de 21 à 30</t>
  </si>
  <si>
    <t>de 11 à 20</t>
  </si>
  <si>
    <t>de 0 à 11</t>
  </si>
  <si>
    <t>GO</t>
  </si>
  <si>
    <t>NO GO</t>
  </si>
  <si>
    <t>optionnel</t>
  </si>
  <si>
    <t>P. STASSART</t>
  </si>
  <si>
    <t>M. ANCION</t>
  </si>
  <si>
    <t>P. PERARD</t>
  </si>
  <si>
    <t>D. VERGER</t>
  </si>
  <si>
    <t>Y. STORDER</t>
  </si>
  <si>
    <t>M. GILLARD</t>
  </si>
  <si>
    <t>F. MANGILI</t>
  </si>
  <si>
    <t>M. ANTOINE</t>
  </si>
  <si>
    <t>B. GODFRIN</t>
  </si>
  <si>
    <t>P. COTON</t>
  </si>
  <si>
    <t>J. WOLFF</t>
  </si>
  <si>
    <t>PV kWh</t>
  </si>
  <si>
    <t>TR avec subsides</t>
  </si>
  <si>
    <t>énergie utile kWh/m²</t>
  </si>
  <si>
    <t>Indice  kgCO2/€</t>
  </si>
  <si>
    <t>Lien vers Synthèse ECO</t>
  </si>
  <si>
    <t>Lien vers Synthèse PER</t>
  </si>
  <si>
    <t>Economies territoriales réalisées</t>
  </si>
  <si>
    <t>Economies agriculture réalisées</t>
  </si>
  <si>
    <t>Economies logement réalisées</t>
  </si>
  <si>
    <t>Economies tertiaire réalisées</t>
  </si>
  <si>
    <t>Economies transport réalisées</t>
  </si>
  <si>
    <t>PER territoriales réalisées</t>
  </si>
  <si>
    <t>PER agriculture réalisées</t>
  </si>
  <si>
    <t>PER logement réalisées</t>
  </si>
  <si>
    <t>PER tertiaire réalisées</t>
  </si>
  <si>
    <t>PER transport réalisées</t>
  </si>
  <si>
    <t>PER communales réalisées</t>
  </si>
  <si>
    <t>lien vers Résumé Critères</t>
  </si>
  <si>
    <t>Reboisement d'aires non valorisées</t>
  </si>
  <si>
    <t>ha</t>
  </si>
  <si>
    <t>vol moyen M³/ha</t>
  </si>
  <si>
    <t>CO2 stocké T/M³</t>
  </si>
  <si>
    <t>Réseau de haies</t>
  </si>
  <si>
    <t>Réintroduction de haies vives</t>
  </si>
  <si>
    <t>vol chauff M³/km</t>
  </si>
  <si>
    <t>vol tot chauff M³</t>
  </si>
  <si>
    <t>équi mazout</t>
  </si>
  <si>
    <t>coût €/ m</t>
  </si>
  <si>
    <t>subside RW</t>
  </si>
  <si>
    <t xml:space="preserve">vol/pied haie M³/km </t>
  </si>
  <si>
    <t>vol total haie M³</t>
  </si>
  <si>
    <t>CO² fixé total</t>
  </si>
  <si>
    <t>CO² fixé T/M³</t>
  </si>
  <si>
    <t>PLANNING</t>
  </si>
  <si>
    <t>ACTION</t>
  </si>
  <si>
    <t>TERMINE</t>
  </si>
  <si>
    <t>Lien vers CALENDRIER</t>
  </si>
  <si>
    <t>Libre</t>
  </si>
  <si>
    <t>Acquis</t>
  </si>
  <si>
    <t>Installation PhV 65 kWc</t>
  </si>
  <si>
    <t>Installation PhV 46 kWc</t>
  </si>
  <si>
    <t>Installation photovoltaïque</t>
  </si>
  <si>
    <t>ADU-41</t>
  </si>
  <si>
    <t>nbre pompes</t>
  </si>
  <si>
    <t>prix pompe</t>
  </si>
  <si>
    <t>COP</t>
  </si>
  <si>
    <t>Conso PAC élec</t>
  </si>
  <si>
    <t xml:space="preserve">Prix fuel </t>
  </si>
  <si>
    <t>Prix électricité</t>
  </si>
  <si>
    <t>prime</t>
  </si>
  <si>
    <t>Bastogne</t>
  </si>
  <si>
    <t>Hondelange</t>
  </si>
  <si>
    <t>Territoire</t>
  </si>
  <si>
    <t>AC Habay</t>
  </si>
  <si>
    <t>http://www.ef4.be/documents/eloral_images/qualiwatt-les-derniers-developpements-reglementaires-et-les-details-pratiques-de-la-mise-en-oeuvre-du-systeme-de-soutien.pdf</t>
  </si>
  <si>
    <t xml:space="preserve">sources: </t>
  </si>
  <si>
    <t>http://www.ef4.be/fr/photovoltaique/cv/</t>
  </si>
  <si>
    <t xml:space="preserve">source: </t>
  </si>
  <si>
    <t>Réductions CO2  agriculture réalisées</t>
  </si>
  <si>
    <t>Réductions CO2  industrie réalisées</t>
  </si>
  <si>
    <t>Réductions CO2 logement réalisées</t>
  </si>
  <si>
    <t>Réductions CO2 tertiaire réalisées</t>
  </si>
  <si>
    <t>Réductions CO2 transport réalisées</t>
  </si>
  <si>
    <t>Réductions CO2 communales réalisées</t>
  </si>
  <si>
    <t>à supprimer</t>
  </si>
  <si>
    <t>5 bornes pour voitures et 5 pour vélos</t>
  </si>
  <si>
    <t>24 véhicules électriques</t>
  </si>
  <si>
    <t>ok</t>
  </si>
  <si>
    <t>60 logements</t>
  </si>
  <si>
    <t>100 installations</t>
  </si>
  <si>
    <t>demande à l'ADL</t>
  </si>
  <si>
    <t>en attente infos de l'ADL</t>
  </si>
  <si>
    <t>à supprimer pour l'instant, pas d'idée concrète</t>
  </si>
  <si>
    <t>200 maisons</t>
  </si>
  <si>
    <t>50 chaudières</t>
  </si>
  <si>
    <t>100 kWc</t>
  </si>
  <si>
    <t>A supprimer</t>
  </si>
  <si>
    <t>10 exploitations agricoles -20%</t>
  </si>
  <si>
    <t>lisier ou compost, 5 installations</t>
  </si>
  <si>
    <t>100 personnes</t>
  </si>
  <si>
    <t>500 toitures</t>
  </si>
  <si>
    <t>Via achat groupé, ok pour 60</t>
  </si>
  <si>
    <t>ok (50 kWc Pachis)</t>
  </si>
  <si>
    <t>10 moyennes éoliennes (250 kW) sur des sites industriels, pas sous forme de parc</t>
  </si>
  <si>
    <t>100 solaires thermiques</t>
  </si>
  <si>
    <t>ok, mais achat de la caméra avec plusieurs autres communes (Parc Naturel ? Province ?)</t>
  </si>
  <si>
    <t>Assez ambitieux ? Covoiturage activités extrascolaires ? Etude Provinciale sur le sujet ? Aménagement terrain entre TSLux et nationale en parking ? Covoiturage des étudiants vendredi soir et dimanche soir ?</t>
  </si>
  <si>
    <t>ok mais pas avec vélo électrique donc budget 5000€ pour petite sécurisation, gilets fluo, mise en conformité des vélos</t>
  </si>
  <si>
    <t>-30% de la consommation dans les écoles communales via isolation / régulation / remplacement de chauffage / changement comportement</t>
  </si>
  <si>
    <t>ok 1000 kWc</t>
  </si>
  <si>
    <t>ok mais 10 000 ampoules, circulateur chauffage, voir plus tard peut-être pour d'autres choses (chaudières, isolation)</t>
  </si>
  <si>
    <t>Positif : Investissement de base faible, temps de retour sans subside</t>
  </si>
  <si>
    <t>Mode de financement</t>
  </si>
  <si>
    <t>Prêt bancaire</t>
  </si>
  <si>
    <t>Subs EU</t>
  </si>
  <si>
    <t>1/3 invest</t>
  </si>
  <si>
    <t>CrowdFund</t>
  </si>
  <si>
    <t>Autre</t>
  </si>
  <si>
    <t>Montage</t>
  </si>
  <si>
    <t>Pas de subside</t>
  </si>
  <si>
    <t>Pas de financement</t>
  </si>
  <si>
    <t>Origine Subsides</t>
  </si>
  <si>
    <t>Subs Com</t>
  </si>
  <si>
    <t>Objectif 20%</t>
  </si>
  <si>
    <t>Lien vers RESUME CRITERES</t>
  </si>
  <si>
    <t>Habay-la-Vieille</t>
  </si>
  <si>
    <t>Houdemont</t>
  </si>
  <si>
    <t>Rulles</t>
  </si>
  <si>
    <t>Marbehan</t>
  </si>
  <si>
    <t>Orsinfaing</t>
  </si>
  <si>
    <t>Hachy</t>
  </si>
  <si>
    <t>Remplacement de 100 chaudières fuel privées par des chaudières à condensation ou HR</t>
  </si>
  <si>
    <t>Nous proposons que 10 exploitations de la commune de Habay soient étudiées. Objectif de réduction: 20% des émissions sur ces 10 exploitations</t>
  </si>
  <si>
    <t>5 bornes pour voiture et 5 bornes pour vélo électrique, sur tout le territoire</t>
  </si>
  <si>
    <t>Réductions des émissions territoriales réalisées</t>
  </si>
  <si>
    <t>Réductions des émissions territoriales A faire</t>
  </si>
  <si>
    <t>Mise en œuvre de 100 installations PhV privées de 3 kWc supplémentaires</t>
  </si>
  <si>
    <t>Mise en œuvre de 100 installations solaires thermiques de 6 m² chacune</t>
  </si>
  <si>
    <t>Engagement en 2010 d'un écopasseur se partageant à tiers-temps les Communes d'Etalle, Tintigny et Habay. Parmi les missions de l'écopasseur définie par la circulaire ministérielle, on retrouve le développement d'un plan local pour l'énergie. Nous listons ci-dessous l’ensemble des tâches à lui confier dans cette optique :
- Suivi de la comptabilité énergétique des bâtiments
- Rédaction des cahiers des charges pour les travaux économiseurs d’énergie
- Gestion des demandes de subsides pour les travaux économiseurs d’énergie
- Recherche de financements pour les projets de grande envergure (ex : méthanisation)
- Mise en place, suivi et reconduction périodique d’une campagne de sensibilisation des utilisateurs de bâtiments communaux
- Mise en place d’une campagne d’information du public autour du plan d’action et de la vision
- Coordination de la mise en œuvre du plan d’action avec les opérateurs externes
- Suivi annuel de l’avancement du plan d’action et actualisation de l’Inventaire de Référence des Emissions dans un but de bonne coordination et de rapportage à la Convention des Maires</t>
  </si>
  <si>
    <t>Engagement d'un responsable Energie et Urbanisme</t>
  </si>
  <si>
    <t>ADO-12</t>
  </si>
  <si>
    <t>Personnel occupant les bâtiments communaux</t>
  </si>
  <si>
    <t>Campagne de sensibilisation visant à rendre les occupants des bâtiments communaux plus attentifs à la gestion de l'énergie.</t>
  </si>
  <si>
    <t>ADO-13</t>
  </si>
  <si>
    <t>Sensibilisation des écoles</t>
  </si>
  <si>
    <t>ADO-14</t>
  </si>
  <si>
    <t>Bâtiments communaux</t>
  </si>
  <si>
    <t>Création d'un groupe de travail charger de détecter les gaspillages dans les bâtiments communaux. Ce groupe identifiera les surconsommations énergétiques occasionnées par des comportements inadéquats ainsi que les pertes occasionnées par des matériels inadaptés.</t>
  </si>
  <si>
    <t>Chasse aux gaspis - chaleur</t>
  </si>
  <si>
    <t>ADO-15</t>
  </si>
  <si>
    <t>Chasse aux gaspis - électricité</t>
  </si>
  <si>
    <t>L'objectif est d'arriver à une réduction de consommation de 20 % par rapport aux relevés de 2012 en électricité</t>
  </si>
  <si>
    <t>L'objectif est d'arriver à une réduction de consommation de 20 % par rapport aux relevés de 2012 en chaleur</t>
  </si>
  <si>
    <t>ADU-222</t>
  </si>
  <si>
    <t>ADU-221</t>
  </si>
  <si>
    <t>ADU-42</t>
  </si>
  <si>
    <t>ADU-43</t>
  </si>
  <si>
    <t>Centrale hydro-électrique Anlier</t>
  </si>
  <si>
    <t>P installée kW</t>
  </si>
  <si>
    <t>rendement</t>
  </si>
  <si>
    <t>utilisation</t>
  </si>
  <si>
    <t>ADU-114</t>
  </si>
  <si>
    <t>Rénovation - isolation complète de logements privés</t>
  </si>
  <si>
    <t>Complet</t>
  </si>
  <si>
    <t>En introduisant la formation pratique, la Commune de Habay va encourager les travaux  d'isolation dans les logements privés. Isolation complète de 50 logements suivant les normes PEB de la Région Wallonne</t>
  </si>
  <si>
    <t>ADU-361</t>
  </si>
  <si>
    <t>Pompes à chaleur GEO</t>
  </si>
  <si>
    <t>Pompes à chaleur A-A</t>
  </si>
  <si>
    <t>ADU-362</t>
  </si>
  <si>
    <t>ADU-363</t>
  </si>
  <si>
    <t>Pompes à chaleur A-E</t>
  </si>
  <si>
    <t>ADU-364</t>
  </si>
  <si>
    <t>Remplace la consommation de  350 l de mazout</t>
  </si>
  <si>
    <t>Pompes à chaleur E-E</t>
  </si>
  <si>
    <t>Remplace la consommation de  5.000 l de mazout</t>
  </si>
  <si>
    <t>Stockage d'énergie</t>
  </si>
  <si>
    <t>Parkings pour Covoiturage</t>
  </si>
  <si>
    <t>ADU-311</t>
  </si>
  <si>
    <t>ADU-341</t>
  </si>
  <si>
    <t>PEDIBUS</t>
  </si>
  <si>
    <t>ADU-381</t>
  </si>
  <si>
    <t>ADU-365</t>
  </si>
  <si>
    <t>Réductions CO2  Territoire réalisées</t>
  </si>
  <si>
    <r>
      <t xml:space="preserve">Remise en service en 2009 d'un site hydro-électrique existant. Puissance </t>
    </r>
    <r>
      <rPr>
        <sz val="12"/>
        <color rgb="FF003742"/>
        <rFont val="Calibri"/>
        <family val="2"/>
      </rPr>
      <t>± 10kW</t>
    </r>
    <r>
      <rPr>
        <sz val="12"/>
        <color rgb="FF003742"/>
        <rFont val="Calibri"/>
        <family val="2"/>
        <scheme val="minor"/>
      </rPr>
      <t xml:space="preserve">
</t>
    </r>
  </si>
  <si>
    <t xml:space="preserve">En introduisant la formation pratique, la Commune de Habay va encourager les travaux  d'isolation des murs extérieurs dans 100 logements privés. </t>
  </si>
  <si>
    <t>En introduisant la formation pratique, la Commune de Habay va encourager les travaux  d'isolation dans les logements privés: isolation de 60 planchers</t>
  </si>
  <si>
    <t>En introduisant la formation pratique, la Commune de Habay va encourager les travaux  d'isolation dans les logements privés: isolation de 200  toitures</t>
  </si>
  <si>
    <t>En introduisant la formation pratique, la Commune de Habay va encourager les travaux  d'isolation dans les logements privés. Remplacement des vitrages dans 60 logements</t>
  </si>
  <si>
    <t>10000 pièces et réductionde 30 % de la consommation initiale</t>
  </si>
  <si>
    <t>Remplacement de 50 chaudières fuel privées par des chaudières à pellets / plaquettes / bûches</t>
  </si>
  <si>
    <t>Prise en compte des conducteurs recourant au covoiturage depuis 2006 et mise en place d'incitants pour accroître l'attrait de cette formule.</t>
  </si>
  <si>
    <t>Identification claire des zones actuellement utilisées par les conducteurs covoiturage et mise à disposition de nouvelles surfaces de parking.</t>
  </si>
  <si>
    <t>Remplacement de 60 véhicules privés par des voitures électriques</t>
  </si>
  <si>
    <t>8 installations  de chauffage de logements  par pompe à chaleur sur puits géothermiques</t>
  </si>
  <si>
    <t>25 installations  de chauffage de logements par pompe à chaleur AIR-AIR</t>
  </si>
  <si>
    <t>25 installations  de chauffage de logements par pompe à chaleur Air-Eau</t>
  </si>
  <si>
    <t>Installation  d'une pompe à chaleur Eau-Eau dans un des étangs de la Commune d'Habay pour le chauffage collectif d'un ensemble de 10 logements privés à basse consommation énergétique.</t>
  </si>
  <si>
    <t>Plantation de 2 ha d'essences légères sur la zone des Coeuvins. Volume moyen typique belge: 225 M³/ha (http://www.srfb.be/fr/les_forets_belgique)  On considérera 0,9 T CO2 stocké par M³ (http://woodforum.salusa.indiegroup.be/sites/woodforum.salusa.indiegroup.be/files/deel2/fr/2169%20-%20Les%20produits%20%E0%20base%20de%20bois%20dans%20la%20lutte%20contre%20le%20changement%20climatique.pdf)</t>
  </si>
  <si>
    <t>Mise en place d'une installation permettant de stocker l'énergie électrique sous forme d'hydrogène, de façon à réduire les mises à l'arrêt volontaires d'éoliennes en cas de surcapacité du réseau. Cette technique permettrait d'accroître le taux de charge du parc éolien d'Habay de 2 %. L'hydrogène produit sera destinée à l'approvisionnement des voitures équipées de piles à combustible, une des solutions propres du futur en matière de mobilité.</t>
  </si>
  <si>
    <t>Réduction de 10 % de la consommation par 1200 ménages (± 30 % population)</t>
  </si>
  <si>
    <r>
      <t>Réduction de 10 % de la consommation par 1200 ménages (</t>
    </r>
    <r>
      <rPr>
        <sz val="12"/>
        <rFont val="Calibri"/>
        <family val="2"/>
      </rPr>
      <t>± 30 % population)</t>
    </r>
  </si>
  <si>
    <t>Avec l'appui du facilitateur wallon pour la filière Industrie et l'ADL Tintigny - Habay</t>
  </si>
  <si>
    <t>Achat à plusieurs communes via Parc Naturel ou la Province de Luxembourg.</t>
  </si>
  <si>
    <t>Sensibilisation aux économies d'énergie</t>
  </si>
  <si>
    <t>Economie en énergie fossile: 380.000 l</t>
  </si>
  <si>
    <t>Centrale hydro-électrique du Châtelet</t>
  </si>
  <si>
    <t>ADU-44</t>
  </si>
  <si>
    <t>Centrale hydro-électrique étang de Bologne</t>
  </si>
  <si>
    <r>
      <t xml:space="preserve">Etude et réalisation d'une nouvelle turbine et dispositif de raccordement au réseau. Puissance </t>
    </r>
    <r>
      <rPr>
        <sz val="12"/>
        <color rgb="FF003742"/>
        <rFont val="Calibri"/>
        <family val="2"/>
      </rPr>
      <t>± 30kW sur le site de l'étang de Bologne</t>
    </r>
    <r>
      <rPr>
        <sz val="12"/>
        <color rgb="FF003742"/>
        <rFont val="Calibri"/>
        <family val="2"/>
        <scheme val="minor"/>
      </rPr>
      <t xml:space="preserve">
</t>
    </r>
  </si>
  <si>
    <t xml:space="preserve">Objectif moyen de réduction de consommation : 12021 kWh </t>
  </si>
  <si>
    <t>En collaboration avec l'ADL</t>
  </si>
  <si>
    <t>En collaboration avec le Parc Naturel Haute Sûre Forêt d'Anlier</t>
  </si>
  <si>
    <t xml:space="preserve">Formation de 100 conducteurs </t>
  </si>
  <si>
    <t>Installation PhV 150 kWc</t>
  </si>
  <si>
    <t>ADU-223</t>
  </si>
  <si>
    <t>Parc Naturel Haute Sure Forêt d'Anlier</t>
  </si>
  <si>
    <t xml:space="preserve">Pour mettre en œuvre les actions territoriales et patrimoniales, et conseiller utilement  la Commune, le Conseil Consultif Pôle Energie a été mis en place en 2013. Ce Conseil regroupe de multiples compétences et inclus tant des personnes du monde politique, que des representants d'organisation existante ayant un lien avec l'énergie, des citoyens, etc.  
</t>
  </si>
  <si>
    <t>La Commune d'Habay a depuis plusieurs années une centrale d'achat sur son territoire (Projet Energie Anlier). Cette centrale d'achat a été montée par des citoyens d'un quartier en vue de bénéficier de meilleurs tarifs pour des panneaux photovoltaïque. La Commune d'Habay envisage de recourrir à ses services chaque fois que des citoyens manifesteront leurs besoins en matière d'équipements destinés à réduire la consommation énergétique ou à en produire, ou de faire appel à une autre structure en fonction du projet.</t>
  </si>
  <si>
    <t>Avec l'appui du facilitateur wallon pour la filière biogaz et du Parc naturel</t>
  </si>
  <si>
    <t>Engagement en 2016 d'un ingénieur bâtiment et urbanisme. Nous listons ci-dessous l’ensemble des tâches à lui confier  :
- Suivi de la comptabilité énergétique des bâtiments
- Rédaction des cahiers des charges pour les travaux et particulièrement pour les travaux économiseurs d’énergie
- Gestion des demandes de subsides pour les travaux économiseurs d’énergie
- Suivi annuel de l’avancement du plan d’action et actualisation de l’Inventaire de Référence des Emissions dans un but de bonne coordination et de rapportage à la Convention des Maires
- Analyse des dossiers urbanistiques</t>
  </si>
  <si>
    <t>Rejoint le projet immatériel "commune durable" du PCDR</t>
  </si>
  <si>
    <t>Création d'un groupe de travail chargé de détecter les gaspillages dans les bâtiments communaux. Ce groupe identifiera les surconsommations énergétiques occasionnées par des comportements inadéquats ainsi que les pertes occasionnées par des matériels inadaptés.</t>
  </si>
  <si>
    <t>DELHAIZE de Habay-la-Neuve</t>
  </si>
  <si>
    <t>Mini réseau de chaleur alimenté par une chaudière à pellets, pour le chauffage de la Maison Communale, la Brasserie du Châtelet, la future crèche et l'Hôtel du Châtelet.</t>
  </si>
  <si>
    <t>Réseau de chaleur alimenté par une chaudière à plaquette. Bâtiments concernés: centre sportif "le Pâchis" / Losange / Ecole St-Benoît (2e et 3e degré) / Syndicat d’Initiatives / Ecole St-Nicolas / IMP Mes Petits / Ecole St-Benoît (1e degré) / 
Auberge du Vivier (Maison de repos et Maison d’enfants)</t>
  </si>
  <si>
    <t>Pachis, Les Ardents, écoles de Hachy/Orsinfaing/Houdemont, Soleil levant</t>
  </si>
  <si>
    <t>SOLUDI-HUET aux Coeuvins</t>
  </si>
  <si>
    <t xml:space="preserve"> Il s’agit de mettre en place et d’animer un groupe de travail qui visera à fédérer les agriculteurs désireux de s’inscrire dans une démarche durable et à les accompagner dans leur réflexion. 
Un diagnostic énergétique des 20 exploitations sera réalisé en collaboration avec Valbiom par la méthode « Diagnostic Planète » développée par SolAGRO . Les pistes d’économie d’énergie à la ferme sont nombreuses :
- Bâtiments : ventilation efficace, isolation, éclairage naturel ou basse consommation, orientation
- Alimentation du bétail : produits locaux, optimisation de l’utilisation des fourrages de l’exploitation
- Pâturage : importance des légumineuses, diminution du coût des aliments, diminution du temps de travail
- Culture : utilisation raisonnée des produits phytosanitaires et des engrais, ajustement de fertilisation, implantation de CIPAN, rotation, non-labour, techniques culturales simplifiées
- Traîte : réduction de la consommation électrique
- Machines agricoles : optimalisation, entretien et réglage régulier, organisation des chantiers, utilisation rationnelle des engins motorisés, conduite adaptée</t>
  </si>
  <si>
    <t>Dans le cadre de la semaine de la mobilité</t>
  </si>
  <si>
    <t>Gaum'Energie</t>
  </si>
  <si>
    <t xml:space="preserve">Séance d'information de 3 heures à  l'attention des citoyens candidats à la rénovation </t>
  </si>
  <si>
    <t>Estimation de réduction en énergie fossile: moyenne de 1410 l / poêle</t>
  </si>
  <si>
    <t>Remplace la consommation de  600 l de mazout</t>
  </si>
  <si>
    <t>Remplace la consommation de 600 l de mazout</t>
  </si>
  <si>
    <t xml:space="preserve">Production </t>
  </si>
  <si>
    <t>heures P Nominale</t>
  </si>
  <si>
    <t>Rendement</t>
  </si>
  <si>
    <t>Chaudière</t>
  </si>
  <si>
    <t>prix voiture élec</t>
  </si>
  <si>
    <t>prix voiture th</t>
  </si>
  <si>
    <t>frais entretien</t>
  </si>
  <si>
    <t>prix voiture therm</t>
  </si>
  <si>
    <t>Installation innovante de stockage d'énergie</t>
  </si>
  <si>
    <t>Financement</t>
  </si>
  <si>
    <t>Subsidiation</t>
  </si>
  <si>
    <t>Prime RW</t>
  </si>
  <si>
    <t>Sponsoring</t>
  </si>
  <si>
    <t>ECOPACK</t>
  </si>
  <si>
    <t>Production d'hydro-électricité</t>
  </si>
  <si>
    <t>Centrale hydro-électrique de La Trapperie</t>
  </si>
  <si>
    <r>
      <t>On estime à 10 m³ / ha / an le taux d'accroissement de bois énergie, soit 2 m³ / km de haie mature, équivalent à 200 litres de mazout. Les buts recherchés sont la création de sites propices à la protection et l'épanouissement de la biodiversité ainsi que la production de bois énergie. Les espèces concernées sont hêtre, noisettier, aubépine, prunellier, saule, essences indigènes. Dans le bilan CO</t>
    </r>
    <r>
      <rPr>
        <sz val="9"/>
        <color rgb="FF003742"/>
        <rFont val="Calibri"/>
        <family val="2"/>
        <scheme val="minor"/>
      </rPr>
      <t>2</t>
    </r>
    <r>
      <rPr>
        <sz val="12"/>
        <color rgb="FF003742"/>
        <rFont val="Calibri"/>
        <family val="2"/>
        <scheme val="minor"/>
      </rPr>
      <t>, on tient compte du CO</t>
    </r>
    <r>
      <rPr>
        <sz val="9"/>
        <color rgb="FF003742"/>
        <rFont val="Calibri"/>
        <family val="2"/>
        <scheme val="minor"/>
      </rPr>
      <t>2</t>
    </r>
    <r>
      <rPr>
        <sz val="12"/>
        <color rgb="FF003742"/>
        <rFont val="Calibri"/>
        <family val="2"/>
        <scheme val="minor"/>
      </rPr>
      <t xml:space="preserve"> fixé par la haie à maturité, en plus du CO</t>
    </r>
    <r>
      <rPr>
        <sz val="9"/>
        <color rgb="FF003742"/>
        <rFont val="Calibri"/>
        <family val="2"/>
        <scheme val="minor"/>
      </rPr>
      <t>2</t>
    </r>
    <r>
      <rPr>
        <sz val="12"/>
        <color rgb="FF003742"/>
        <rFont val="Calibri"/>
        <family val="2"/>
        <scheme val="minor"/>
      </rPr>
      <t xml:space="preserve"> lié à l'exploitation du bois énergie.</t>
    </r>
  </si>
  <si>
    <r>
      <t>Séquestration de CO</t>
    </r>
    <r>
      <rPr>
        <b/>
        <sz val="8"/>
        <color rgb="FF003742"/>
        <rFont val="Calibri"/>
        <family val="2"/>
        <scheme val="minor"/>
      </rPr>
      <t>2</t>
    </r>
    <r>
      <rPr>
        <b/>
        <sz val="11"/>
        <color rgb="FF003742"/>
        <rFont val="Calibri"/>
        <family val="2"/>
        <scheme val="minor"/>
      </rPr>
      <t xml:space="preserve"> par reboisement</t>
    </r>
  </si>
  <si>
    <t xml:space="preserve">Economies d'énergie dans les bâtiments scolaires </t>
  </si>
  <si>
    <t>Rénovation - isolation de logements privés - Planchers</t>
  </si>
  <si>
    <t>ADU-261</t>
  </si>
  <si>
    <t>ADU-131</t>
  </si>
  <si>
    <t>Performance énergétique des bâtiments tertiares</t>
  </si>
  <si>
    <t>25 % d'économies en chaleur et 20 % en électricité</t>
  </si>
  <si>
    <t>Equipements peu énergivore</t>
  </si>
  <si>
    <t>Via une centrale d'achat, permettre aux citoyens d'acquérir des équipements peu énergivores tels que frigidaires, congélateurs, laves-linge, etc</t>
  </si>
  <si>
    <t>économie de 300 kWh /an / appareil</t>
  </si>
  <si>
    <t>ADU-389</t>
  </si>
  <si>
    <t>Economie kWh/an</t>
  </si>
  <si>
    <t xml:space="preserve">Performance énergétique </t>
  </si>
  <si>
    <t>Production de combustible biomasse</t>
  </si>
  <si>
    <t>Culture de myscanthus</t>
  </si>
  <si>
    <t>Valorisation de terres agricole par plantation d'espèces à croissance rapides telle que le myscanthus</t>
  </si>
  <si>
    <t>Récolte  T/an/ha</t>
  </si>
  <si>
    <t>Equivalent mazout L</t>
  </si>
  <si>
    <t>coeff mazout</t>
  </si>
  <si>
    <t>Coûtplantation €/ha</t>
  </si>
  <si>
    <t>Prix de vente € / T</t>
  </si>
  <si>
    <t>Système de ramassage scolaire pédestre</t>
  </si>
  <si>
    <t>trajet a-r</t>
  </si>
  <si>
    <t>nbre de jours</t>
  </si>
  <si>
    <t>conso moyenne</t>
  </si>
  <si>
    <t>prix carburant</t>
  </si>
  <si>
    <t>MUNICIPALITY</t>
  </si>
  <si>
    <t>INDUSTRIE</t>
  </si>
  <si>
    <t>CITOYEN</t>
  </si>
  <si>
    <t>AUTRES</t>
  </si>
  <si>
    <t>PUBLIC LIGHTING</t>
  </si>
  <si>
    <t>PROD ELEC</t>
  </si>
  <si>
    <t>PROD CHALEUR</t>
  </si>
  <si>
    <t>TERTIAIRE</t>
  </si>
  <si>
    <t>TRANSPORT</t>
  </si>
  <si>
    <t>autres</t>
  </si>
  <si>
    <t>invest</t>
  </si>
  <si>
    <t>non invest</t>
  </si>
  <si>
    <t>population 2020</t>
  </si>
  <si>
    <t>Nombre minimum de membres du comité de pilotage - Objectif: 5</t>
  </si>
  <si>
    <t>Nombre de planchers isolés - Objectif: 60</t>
  </si>
  <si>
    <t>Nombre de toitures isolées - Objectif: 200</t>
  </si>
  <si>
    <t>Nombre d'habitations avec murs isolés - Objectif: 100</t>
  </si>
  <si>
    <t>Nombre de travaux de remplacement de châssis - Objectif: 60</t>
  </si>
  <si>
    <t>Nombre de travaux de remplacement de châssis - Objectif: 50</t>
  </si>
  <si>
    <t>Nombre d'ampoules achetées via la centrale d'achat - Objectif: 10000</t>
  </si>
  <si>
    <t>Nombre d'appareils achetés via la centrale d'achat - Objectif: 400</t>
  </si>
  <si>
    <t>Nombre de chaudières remplacées - Objectif: 100</t>
  </si>
  <si>
    <t>Nombre de nouvelles installations photovoltaïques - Objectif: 100</t>
  </si>
  <si>
    <t>Nombre de nouvelles installations photovoltaïques - Objectif: 100 kWc</t>
  </si>
  <si>
    <t>Puissance totale des nouvelles installations photovoltaïques - Objectif: 100 kWc</t>
  </si>
  <si>
    <t>Nombre de nouvelles installations solaires thermiques - Objectif: 100</t>
  </si>
  <si>
    <t>3 installations</t>
  </si>
  <si>
    <t>Nombre de personnes utilisant le parking de covoiturage de Habay - Objectif: 300</t>
  </si>
  <si>
    <t>Possibilité de création d'emploi local via le recours à des entreprises locales ou le développement de nouvelles structures de type EFT, etc…</t>
  </si>
  <si>
    <t>Nombre de PAC installées - Objectif: 8</t>
  </si>
  <si>
    <t>Nombre de PAC installées - Objectif: 25</t>
  </si>
  <si>
    <t>Nombre de PAC installées - Objectif: 50</t>
  </si>
  <si>
    <t>FICHIER ORIGINAL 25/03/2016</t>
  </si>
  <si>
    <t>Information isolation des bâtiments</t>
  </si>
  <si>
    <t>Bilan des actions citoyennes de 2007 à 08/2014</t>
  </si>
  <si>
    <t>TRUCKS CENTER</t>
  </si>
  <si>
    <t xml:space="preserve">Installation "individuelle" de production de biogaz </t>
  </si>
  <si>
    <t>action de ramassage scolaire à vélo avec les ainés, financement de matériel vélo (casque, gilet fluo…) et de petits aménagements de sécurité (5 000 €)</t>
  </si>
  <si>
    <t xml:space="preserve">Fixons un objectif de 250 enfants participant au projet et parcourant 4 km  aller-retour) à vélo à raison de 150 jours par an. Soit une économie de 150.000 km/an. En considérant une consommation moyenne d’essence de 6 litres par 100 km, on obtient une économie de 1.800 litres, soit une réduction des émissions de CO2 de 4,5 t/an. </t>
  </si>
  <si>
    <t>x</t>
  </si>
  <si>
    <t>FICHIER SUIVI 03/2018</t>
  </si>
  <si>
    <t>Parc Naturel de Gaume</t>
  </si>
  <si>
    <t>PNFA</t>
  </si>
  <si>
    <t>Installation d'un parc de 4 éoliennes de 2,97 MW</t>
  </si>
  <si>
    <t>50 installations  de production d'Eau Chaude Sanitaire par pompe à chaleur Air-Eau</t>
  </si>
  <si>
    <t>Objectif: replanter 1 km de haies</t>
  </si>
  <si>
    <t>ADU-331</t>
  </si>
  <si>
    <t>ADU-332</t>
  </si>
  <si>
    <t>Ménages - Mobilité</t>
  </si>
  <si>
    <t>Véhicules  hybrides</t>
  </si>
  <si>
    <t>Prise en compte des véhicules hybrides en circulation depuis 2007. hypothèse d'une consommation 50% élec / 50% essence</t>
  </si>
  <si>
    <t>Valeur statistique à partir des données FEBIAC</t>
  </si>
  <si>
    <t>prix L essence</t>
  </si>
  <si>
    <t>prix voiture hybride</t>
  </si>
  <si>
    <t>Population Belge</t>
  </si>
  <si>
    <t>Stat FEBIAC</t>
  </si>
  <si>
    <t>cout essence</t>
  </si>
  <si>
    <t>énergie essence</t>
  </si>
  <si>
    <t>énergie utile essence</t>
  </si>
  <si>
    <t>Population Habay</t>
  </si>
  <si>
    <t>émission gn</t>
  </si>
  <si>
    <t>prix M³</t>
  </si>
  <si>
    <t>prix voiture CNG</t>
  </si>
  <si>
    <t>ADU-62</t>
  </si>
  <si>
    <t>Economies d'énergie dans le Logement 2006-2014</t>
  </si>
  <si>
    <t>Prise en compte de l'évolution de consommation du secteur Logement entre 2006 et 2014</t>
  </si>
  <si>
    <t>conso elec 2006</t>
  </si>
  <si>
    <t>conso gn 2006</t>
  </si>
  <si>
    <t>conso pétro 2006</t>
  </si>
  <si>
    <t>conso autres 2006</t>
  </si>
  <si>
    <t>coef gn</t>
  </si>
  <si>
    <t>coef pétro</t>
  </si>
  <si>
    <t>coef autre</t>
  </si>
  <si>
    <t>prix elec 2006</t>
  </si>
  <si>
    <t>prix gn 2006</t>
  </si>
  <si>
    <t>prix pétro 2006</t>
  </si>
  <si>
    <t>prix autres 2006</t>
  </si>
  <si>
    <t>prix elec 2012</t>
  </si>
  <si>
    <t>prix gn 2012</t>
  </si>
  <si>
    <t>prix pétro 2012</t>
  </si>
  <si>
    <t>prix autres 2012</t>
  </si>
  <si>
    <t>GWh</t>
  </si>
  <si>
    <t>conso autres 2014</t>
  </si>
  <si>
    <t>conso pétro 2014</t>
  </si>
  <si>
    <t>conso gn 2014</t>
  </si>
  <si>
    <t>conso elec 2014</t>
  </si>
  <si>
    <t>gain 2014</t>
  </si>
  <si>
    <t>Actions douces</t>
  </si>
  <si>
    <t>Actions dures</t>
  </si>
  <si>
    <t>ADU-371</t>
  </si>
  <si>
    <t>Néant</t>
  </si>
  <si>
    <t>ADO-16</t>
  </si>
  <si>
    <t>ADO-17</t>
  </si>
  <si>
    <t>ADU-351</t>
  </si>
  <si>
    <t>Grand public</t>
  </si>
  <si>
    <t>Incitants</t>
  </si>
  <si>
    <t>Semaine Mobilité</t>
  </si>
  <si>
    <t>PAED HABAY 2007 - 2020</t>
  </si>
  <si>
    <t>Objectifs CO2</t>
  </si>
  <si>
    <t>Synthèse CO2</t>
  </si>
  <si>
    <t>CALENDRIER</t>
  </si>
  <si>
    <t>Economies communales réalisées</t>
  </si>
  <si>
    <t>PER industrie réalisées</t>
  </si>
  <si>
    <t>Réduction CO2</t>
  </si>
  <si>
    <t>ECO totales</t>
  </si>
  <si>
    <t>ER total</t>
  </si>
  <si>
    <t>Invest Territoire</t>
  </si>
  <si>
    <t>Invests Communal</t>
  </si>
  <si>
    <t>Subside Communal</t>
  </si>
  <si>
    <t xml:space="preserve">GFAgriculture </t>
  </si>
  <si>
    <t xml:space="preserve">GFIndustrie </t>
  </si>
  <si>
    <t xml:space="preserve">GFLogement </t>
  </si>
  <si>
    <t xml:space="preserve">GF Tertiaire </t>
  </si>
  <si>
    <t xml:space="preserve">GF Transport </t>
  </si>
  <si>
    <t>GF Commune</t>
  </si>
  <si>
    <t>Vélos à assistance électrique</t>
  </si>
  <si>
    <t xml:space="preserve">Via un achat groupé, permettre à 100 citoyens l'acquisition d'un vélos à assistance électrique. </t>
  </si>
  <si>
    <t xml:space="preserve">En posant un trajet unitaire quotidien de 10 km 150 jours par an, on obtient une économie de 75.000 km/an. En considérant le remplacement d'une consommation moyenne d’essence de 6 litres par 100 km, on obtient une économie de 4.500 litres, soit une réduction des émissions de CO2 de 11,7 t/an. </t>
  </si>
  <si>
    <t>Vélos</t>
  </si>
  <si>
    <t>DÉJÀ REALISE</t>
  </si>
  <si>
    <t>BUDGET RESTE A FAIRE</t>
  </si>
  <si>
    <t>BUDGET TOTAL</t>
  </si>
  <si>
    <t>G. GRAISSE - CDD Province de Luxembourg</t>
  </si>
  <si>
    <t>ADU-51</t>
  </si>
  <si>
    <t>Commerces</t>
  </si>
  <si>
    <t>Récupération d'énergie</t>
  </si>
  <si>
    <t>Dans 3 commerces implantés à Habay, on recense des actions visant à récupérer la chaleur produite par les groupes frigorifiques</t>
  </si>
  <si>
    <t>Chiffres en cours d'acquisition</t>
  </si>
  <si>
    <t>conso élec évitée kWh</t>
  </si>
  <si>
    <t>Campagne de sensibilisation des écoliers pour l'apprentissage de l'utilisation rationnelle de l'énergie. Cette campagne peut se doubler d'une participation à des concours tels que Zéro Watt. Opération en cours à l'école de Habay La Vieille,</t>
  </si>
  <si>
    <t>Mise en place d'incitants pour accroître la participation effective du grand public au PAED. Le type d'incitant reste à définir.</t>
  </si>
  <si>
    <t>ADU-52</t>
  </si>
  <si>
    <t>Piscine</t>
  </si>
  <si>
    <t>Récupération et économie d'énergie</t>
  </si>
  <si>
    <t xml:space="preserve">conso mazout </t>
  </si>
  <si>
    <t>prix mùazout</t>
  </si>
  <si>
    <t>coefélec</t>
  </si>
  <si>
    <t>% éco chaleur</t>
  </si>
  <si>
    <t>% éco élec</t>
  </si>
  <si>
    <t xml:space="preserve">conso élec </t>
  </si>
  <si>
    <t>Travaux économiseurs d'énergie à la Piscine de Habay</t>
  </si>
  <si>
    <t>Chiffres en cours d'acquisition. NB seules les économies d'électricité sont comptabilisées, la chaleur étant produite par une installation biomasse dans le futur</t>
  </si>
  <si>
    <t>Ecoles de Marbehan, Habay-la-Vieille, Houdemont, Orsinfaing, Rulles et Hachy : isolation / régulation / remplacement de chauffage / changement comportement. Objectif : -30% des consommations en chauffage. Consommation actuelle: 87.009 litres. Au 1/01/2018, isolation des toitures des écoles de Habay la Vieille et Rulles, rénovation et extension de l'école de Marbehan, nouvelle école de Hachy (suite à incendie).</t>
  </si>
  <si>
    <t>Economie estimée: 30 % chiffres 2017 non encore disponibles</t>
  </si>
  <si>
    <t>Ecole de l'Etat Marbehan</t>
  </si>
  <si>
    <t>Chaudière et économie d'énergie</t>
  </si>
  <si>
    <t>Nouvelle chaudière et isolation de l'enveloppe de l'école de l'Etat de Marbehan</t>
  </si>
  <si>
    <t xml:space="preserve">Chiffres en cours d'acquisition. </t>
  </si>
  <si>
    <t>ADU-53</t>
  </si>
  <si>
    <t xml:space="preserve">Objectif </t>
  </si>
  <si>
    <t>CV/MWh</t>
  </si>
  <si>
    <r>
      <t xml:space="preserve">Mise en service en 2017 d'une nouvelle turbine et dispositif de raccordement au réseau. Puissance </t>
    </r>
    <r>
      <rPr>
        <sz val="12"/>
        <color rgb="FF003742"/>
        <rFont val="Calibri"/>
        <family val="2"/>
      </rPr>
      <t>± 20kW sur le site du Châtelet. La production sera utilisée en autoconsommation par l'Hôtel de Ville du Châtelet et le Restaurant du Châtelet.</t>
    </r>
    <r>
      <rPr>
        <sz val="12"/>
        <color rgb="FF003742"/>
        <rFont val="Calibri"/>
        <family val="2"/>
        <scheme val="minor"/>
      </rPr>
      <t xml:space="preserve">
</t>
    </r>
  </si>
  <si>
    <t>Qté pellets</t>
  </si>
  <si>
    <t>prix pellets</t>
  </si>
  <si>
    <t>RESIDENTIEL</t>
  </si>
  <si>
    <t>Séquestration de CO2</t>
  </si>
  <si>
    <t>Vergers conservateurs</t>
  </si>
  <si>
    <t>Variétés haute-tige</t>
  </si>
  <si>
    <t xml:space="preserve">chy </t>
  </si>
  <si>
    <t>Plantation de 2 ha de vergers (200 arbres) dans le but de perpétuer des espèces fruitières locales à Habay et plantation de 7 ha à Hachy (propriété Dolizy)</t>
  </si>
  <si>
    <t>Sur base des données DGO4 - 2017 - "HABAY_Bilan_Energie_1990-2014"</t>
  </si>
  <si>
    <t>Suivi</t>
  </si>
  <si>
    <t>Suivant primes communales octroyées</t>
  </si>
  <si>
    <t>Commentaire</t>
  </si>
  <si>
    <t>Objectif: 60 logements x 100 m²</t>
  </si>
  <si>
    <t>En cours école de Habay-la-Vieille</t>
  </si>
  <si>
    <t>En cours école de Habay-la-Vieille, Orsinfaing, Houdemont, état des régulations</t>
  </si>
  <si>
    <t>Organisation d'une semaine de sensibilisation et information sur la thématique de la Mobilité</t>
  </si>
  <si>
    <t>en cours</t>
  </si>
  <si>
    <t>Objectif: 200 logements x 110 m²</t>
  </si>
  <si>
    <t>Objectif: 100 logements x 140 m²</t>
  </si>
  <si>
    <t>nbre d'appareils</t>
  </si>
  <si>
    <t>Installation d'une de 1 éoliennes de 10 kW</t>
  </si>
  <si>
    <t>Eclairage public</t>
  </si>
  <si>
    <t>ORES</t>
  </si>
  <si>
    <t>PALISEUL</t>
  </si>
  <si>
    <t>Application du plan EPURE</t>
  </si>
  <si>
    <t>Remplacement des luminaires d'éclairage public par des luminaires moins énergivores</t>
  </si>
  <si>
    <t>Consommations EP</t>
  </si>
  <si>
    <t>Olivier DION</t>
  </si>
  <si>
    <t>Objectif de réduction de consommation: 25 %. Consommation 2006</t>
  </si>
  <si>
    <t>Véhicules CNG</t>
  </si>
  <si>
    <t>ADU-333</t>
  </si>
  <si>
    <t>Prise en compte des véhicules hybrides en circulation depuis 2018. hypothèse d'une consommation 50% élec / 50% essence</t>
  </si>
  <si>
    <t>objectif</t>
  </si>
  <si>
    <t>Plantation de bois léger (peuplier, autres) avec estimation de 150 M³ par ha</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</si>
</sst>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 #,##0.00_ ;_ * \-#,##0.00_ ;_ * &quot;-&quot;??_ ;_ @_ "/>
    <numFmt numFmtId="164" formatCode="_-* #,##0\ [$€-40C]_-;\-* #,##0\ [$€-40C]_-;_-* &quot;-&quot;??\ [$€-40C]_-;_-@_-"/>
    <numFmt numFmtId="165" formatCode="0.0%"/>
    <numFmt numFmtId="166" formatCode="_ * #,##0.0_ ;_ * \-#,##0.0_ ;_ * &quot;-&quot;??_ ;_ @_ "/>
    <numFmt numFmtId="167" formatCode="_ * #,##0_ ;_ * \-#,##0_ ;_ * &quot;-&quot;??_ ;_ @_ "/>
    <numFmt numFmtId="168" formatCode="0.0"/>
    <numFmt numFmtId="169" formatCode="0.0000%"/>
    <numFmt numFmtId="170" formatCode="_-* #,##0.00\ [$€]_-;\-* #,##0.00\ [$€]_-;_-* &quot;-&quot;??\ [$€]_-;_-@_-"/>
    <numFmt numFmtId="171" formatCode="0.000"/>
    <numFmt numFmtId="172" formatCode="0.0000"/>
    <numFmt numFmtId="173" formatCode="#,##0.0"/>
    <numFmt numFmtId="174" formatCode="#,##0\ [$€-1];[Red]\-#,##0\ [$€-1]"/>
  </numFmts>
  <fonts count="54" x14ac:knownFonts="1">
    <font>
      <sz val="11"/>
      <color theme="1"/>
      <name val="Calibri"/>
      <family val="2"/>
      <scheme val="minor"/>
    </font>
    <font>
      <sz val="11"/>
      <color theme="1"/>
      <name val="Calibri"/>
      <family val="2"/>
      <scheme val="minor"/>
    </font>
    <font>
      <b/>
      <sz val="16"/>
      <color rgb="FF003742"/>
      <name val="Calibri"/>
      <family val="2"/>
      <scheme val="minor"/>
    </font>
    <font>
      <sz val="11"/>
      <color rgb="FF003742"/>
      <name val="Calibri"/>
      <family val="2"/>
      <scheme val="minor"/>
    </font>
    <font>
      <b/>
      <sz val="20"/>
      <color rgb="FF003742"/>
      <name val="Calibri"/>
      <family val="2"/>
      <scheme val="minor"/>
    </font>
    <font>
      <b/>
      <sz val="11"/>
      <color rgb="FF003742"/>
      <name val="Calibri"/>
      <family val="2"/>
      <scheme val="minor"/>
    </font>
    <font>
      <b/>
      <sz val="14"/>
      <color rgb="FF003742"/>
      <name val="Calibri"/>
      <family val="2"/>
      <scheme val="minor"/>
    </font>
    <font>
      <b/>
      <sz val="12"/>
      <color rgb="FF003742"/>
      <name val="Calibri"/>
      <family val="2"/>
      <scheme val="minor"/>
    </font>
    <font>
      <sz val="12"/>
      <color rgb="FF003742"/>
      <name val="Calibri"/>
      <family val="2"/>
      <scheme val="minor"/>
    </font>
    <font>
      <b/>
      <sz val="11"/>
      <color theme="1"/>
      <name val="Calibri"/>
      <family val="2"/>
      <scheme val="minor"/>
    </font>
    <font>
      <sz val="10"/>
      <name val="Arial"/>
      <family val="2"/>
    </font>
    <font>
      <b/>
      <sz val="16"/>
      <color theme="1"/>
      <name val="Calibri"/>
      <family val="2"/>
      <scheme val="minor"/>
    </font>
    <font>
      <b/>
      <sz val="18"/>
      <color rgb="FF003742"/>
      <name val="Calibri"/>
      <family val="2"/>
      <scheme val="minor"/>
    </font>
    <font>
      <sz val="11"/>
      <color rgb="FFFF0000"/>
      <name val="Calibri"/>
      <family val="2"/>
      <scheme val="minor"/>
    </font>
    <font>
      <b/>
      <sz val="11"/>
      <color rgb="FFFF0000"/>
      <name val="Calibri"/>
      <family val="2"/>
      <scheme val="minor"/>
    </font>
    <font>
      <b/>
      <sz val="20"/>
      <color rgb="FFFF0000"/>
      <name val="Calibri"/>
      <family val="2"/>
      <scheme val="minor"/>
    </font>
    <font>
      <b/>
      <sz val="11"/>
      <name val="Calibri"/>
      <family val="2"/>
      <scheme val="minor"/>
    </font>
    <font>
      <sz val="11"/>
      <name val="Calibri"/>
      <family val="2"/>
      <scheme val="minor"/>
    </font>
    <font>
      <b/>
      <sz val="20"/>
      <color theme="1"/>
      <name val="Calibri"/>
      <family val="2"/>
      <scheme val="minor"/>
    </font>
    <font>
      <sz val="8"/>
      <name val="Arial"/>
      <family val="2"/>
    </font>
    <font>
      <b/>
      <sz val="9"/>
      <name val="Arial"/>
      <family val="2"/>
    </font>
    <font>
      <b/>
      <sz val="8"/>
      <name val="Arial"/>
      <family val="2"/>
    </font>
    <font>
      <b/>
      <sz val="8"/>
      <color indexed="10"/>
      <name val="Arial"/>
      <family val="2"/>
    </font>
    <font>
      <sz val="11"/>
      <color rgb="FF008000"/>
      <name val="Calibri"/>
      <family val="2"/>
      <scheme val="minor"/>
    </font>
    <font>
      <sz val="12"/>
      <name val="Calibri"/>
      <family val="2"/>
      <scheme val="minor"/>
    </font>
    <font>
      <b/>
      <sz val="14"/>
      <name val="Calibri"/>
      <family val="2"/>
      <scheme val="minor"/>
    </font>
    <font>
      <b/>
      <sz val="12"/>
      <name val="Calibri"/>
      <family val="2"/>
      <scheme val="minor"/>
    </font>
    <font>
      <sz val="12"/>
      <color rgb="FF003742"/>
      <name val="Calibri"/>
      <family val="2"/>
    </font>
    <font>
      <sz val="12"/>
      <color rgb="FFFF0000"/>
      <name val="Calibri"/>
      <family val="2"/>
      <scheme val="minor"/>
    </font>
    <font>
      <b/>
      <sz val="18"/>
      <name val="Calibri"/>
      <family val="2"/>
      <scheme val="minor"/>
    </font>
    <font>
      <sz val="12"/>
      <name val="Calibri"/>
      <family val="2"/>
    </font>
    <font>
      <sz val="10"/>
      <color theme="1"/>
      <name val="Calibri"/>
      <family val="2"/>
      <scheme val="minor"/>
    </font>
    <font>
      <sz val="14"/>
      <color theme="1"/>
      <name val="Calibri"/>
      <family val="2"/>
      <scheme val="minor"/>
    </font>
    <font>
      <sz val="14"/>
      <color theme="1"/>
      <name val="Calibri"/>
      <family val="2"/>
    </font>
    <font>
      <sz val="11"/>
      <color theme="1"/>
      <name val="Calibri"/>
      <family val="2"/>
    </font>
    <font>
      <sz val="9"/>
      <color indexed="8"/>
      <name val="Arial"/>
      <family val="2"/>
    </font>
    <font>
      <b/>
      <sz val="18"/>
      <color indexed="56"/>
      <name val="Calibri"/>
      <family val="2"/>
      <scheme val="minor"/>
    </font>
    <font>
      <u/>
      <sz val="11"/>
      <color theme="10"/>
      <name val="Calibri"/>
      <family val="2"/>
      <scheme val="minor"/>
    </font>
    <font>
      <sz val="8"/>
      <color theme="1"/>
      <name val="Calibri"/>
      <family val="2"/>
      <scheme val="minor"/>
    </font>
    <font>
      <sz val="9"/>
      <color indexed="81"/>
      <name val="Tahoma"/>
      <family val="2"/>
    </font>
    <font>
      <b/>
      <sz val="9"/>
      <color indexed="81"/>
      <name val="Tahoma"/>
      <family val="2"/>
    </font>
    <font>
      <sz val="8"/>
      <color indexed="8"/>
      <name val="Calibri"/>
      <family val="2"/>
      <charset val="1"/>
    </font>
    <font>
      <b/>
      <sz val="16"/>
      <name val="Calibri"/>
      <family val="2"/>
      <scheme val="minor"/>
    </font>
    <font>
      <sz val="11"/>
      <color theme="0"/>
      <name val="Calibri"/>
      <family val="2"/>
      <scheme val="minor"/>
    </font>
    <font>
      <sz val="12"/>
      <color theme="0"/>
      <name val="Calibri"/>
      <family val="2"/>
      <scheme val="minor"/>
    </font>
    <font>
      <sz val="9"/>
      <color rgb="FF003742"/>
      <name val="Calibri"/>
      <family val="2"/>
      <scheme val="minor"/>
    </font>
    <font>
      <b/>
      <sz val="8"/>
      <color rgb="FF003742"/>
      <name val="Calibri"/>
      <family val="2"/>
      <scheme val="minor"/>
    </font>
    <font>
      <u/>
      <sz val="11"/>
      <color theme="0"/>
      <name val="Calibri"/>
      <family val="2"/>
      <scheme val="minor"/>
    </font>
    <font>
      <sz val="11"/>
      <color rgb="FFFFFF00"/>
      <name val="Calibri"/>
      <family val="2"/>
      <scheme val="minor"/>
    </font>
    <font>
      <sz val="10"/>
      <name val="Calibri"/>
      <family val="2"/>
      <scheme val="minor"/>
    </font>
    <font>
      <b/>
      <sz val="10"/>
      <name val="Calibri"/>
      <family val="2"/>
      <scheme val="minor"/>
    </font>
    <font>
      <b/>
      <sz val="14"/>
      <color theme="1" tint="0.249977111117893"/>
      <name val="Calibri"/>
      <family val="2"/>
      <scheme val="minor"/>
    </font>
    <font>
      <sz val="11"/>
      <color theme="1" tint="0.249977111117893"/>
      <name val="Calibri"/>
      <family val="2"/>
      <scheme val="minor"/>
    </font>
    <font>
      <b/>
      <sz val="11"/>
      <color theme="1" tint="0.249977111117893"/>
      <name val="Calibri"/>
      <family val="2"/>
      <scheme val="minor"/>
    </font>
  </fonts>
  <fills count="51">
    <fill>
      <patternFill patternType="none"/>
    </fill>
    <fill>
      <patternFill patternType="gray125"/>
    </fill>
    <fill>
      <patternFill patternType="solid">
        <fgColor rgb="FFCCFF99"/>
        <bgColor indexed="64"/>
      </patternFill>
    </fill>
    <fill>
      <patternFill patternType="solid">
        <fgColor rgb="FF92D050"/>
        <bgColor indexed="64"/>
      </patternFill>
    </fill>
    <fill>
      <patternFill patternType="solid">
        <fgColor indexed="11"/>
        <bgColor indexed="64"/>
      </patternFill>
    </fill>
    <fill>
      <patternFill patternType="solid">
        <fgColor indexed="43"/>
        <bgColor indexed="64"/>
      </patternFill>
    </fill>
    <fill>
      <patternFill patternType="solid">
        <fgColor rgb="FFFFFF00"/>
        <bgColor indexed="64"/>
      </patternFill>
    </fill>
    <fill>
      <patternFill patternType="solid">
        <fgColor rgb="FFD5FC46"/>
        <bgColor indexed="64"/>
      </patternFill>
    </fill>
    <fill>
      <patternFill patternType="solid">
        <fgColor rgb="FFFFC000"/>
        <bgColor indexed="64"/>
      </patternFill>
    </fill>
    <fill>
      <patternFill patternType="solid">
        <fgColor rgb="FFBAFEC0"/>
        <bgColor indexed="64"/>
      </patternFill>
    </fill>
    <fill>
      <patternFill patternType="solid">
        <fgColor rgb="FFFEC2CC"/>
        <bgColor indexed="64"/>
      </patternFill>
    </fill>
    <fill>
      <patternFill patternType="solid">
        <fgColor rgb="FF79FD67"/>
        <bgColor indexed="64"/>
      </patternFill>
    </fill>
    <fill>
      <patternFill patternType="solid">
        <fgColor rgb="FFFF9797"/>
        <bgColor indexed="64"/>
      </patternFill>
    </fill>
    <fill>
      <patternFill patternType="solid">
        <fgColor rgb="FFFFB9B9"/>
        <bgColor indexed="64"/>
      </patternFill>
    </fill>
    <fill>
      <patternFill patternType="solid">
        <fgColor indexed="9"/>
        <bgColor indexed="9"/>
      </patternFill>
    </fill>
    <fill>
      <patternFill patternType="solid">
        <fgColor rgb="FFFFC6AF"/>
        <bgColor indexed="64"/>
      </patternFill>
    </fill>
    <fill>
      <patternFill patternType="solid">
        <fgColor rgb="FFFDCEBB"/>
        <bgColor indexed="64"/>
      </patternFill>
    </fill>
    <fill>
      <patternFill patternType="solid">
        <fgColor rgb="FFFFB3B3"/>
        <bgColor indexed="64"/>
      </patternFill>
    </fill>
    <fill>
      <patternFill patternType="solid">
        <fgColor rgb="FFFFCF37"/>
        <bgColor indexed="64"/>
      </patternFill>
    </fill>
    <fill>
      <patternFill patternType="solid">
        <fgColor rgb="FF9CFEFE"/>
        <bgColor indexed="64"/>
      </patternFill>
    </fill>
    <fill>
      <patternFill patternType="solid">
        <fgColor rgb="FF5FFD6E"/>
        <bgColor indexed="64"/>
      </patternFill>
    </fill>
    <fill>
      <patternFill patternType="solid">
        <fgColor rgb="FFFF9F9F"/>
        <bgColor indexed="64"/>
      </patternFill>
    </fill>
    <fill>
      <patternFill patternType="solid">
        <fgColor rgb="FF92FB75"/>
        <bgColor indexed="64"/>
      </patternFill>
    </fill>
    <fill>
      <patternFill patternType="solid">
        <fgColor rgb="FF7FF1FD"/>
        <bgColor indexed="64"/>
      </patternFill>
    </fill>
    <fill>
      <patternFill patternType="solid">
        <fgColor rgb="FFFFD6D5"/>
        <bgColor indexed="64"/>
      </patternFill>
    </fill>
    <fill>
      <patternFill patternType="solid">
        <fgColor rgb="FFFF0000"/>
        <bgColor indexed="64"/>
      </patternFill>
    </fill>
    <fill>
      <patternFill patternType="solid">
        <fgColor rgb="FF97DCFF"/>
        <bgColor indexed="64"/>
      </patternFill>
    </fill>
    <fill>
      <patternFill patternType="solid">
        <fgColor rgb="FFFFFFCC"/>
        <bgColor indexed="64"/>
      </patternFill>
    </fill>
    <fill>
      <patternFill patternType="solid">
        <fgColor rgb="FF00B050"/>
        <bgColor indexed="64"/>
      </patternFill>
    </fill>
    <fill>
      <patternFill patternType="solid">
        <fgColor rgb="FFC00000"/>
        <bgColor indexed="64"/>
      </patternFill>
    </fill>
    <fill>
      <patternFill patternType="solid">
        <fgColor theme="0" tint="-0.249977111117893"/>
        <bgColor indexed="64"/>
      </patternFill>
    </fill>
    <fill>
      <patternFill patternType="solid">
        <fgColor rgb="FF00B0F0"/>
        <bgColor indexed="64"/>
      </patternFill>
    </fill>
    <fill>
      <patternFill patternType="solid">
        <fgColor rgb="FF008000"/>
        <bgColor indexed="64"/>
      </patternFill>
    </fill>
    <fill>
      <patternFill patternType="solid">
        <fgColor indexed="42"/>
        <bgColor indexed="41"/>
      </patternFill>
    </fill>
    <fill>
      <patternFill patternType="solid">
        <fgColor indexed="26"/>
        <bgColor indexed="9"/>
      </patternFill>
    </fill>
    <fill>
      <patternFill patternType="solid">
        <fgColor indexed="45"/>
        <bgColor indexed="29"/>
      </patternFill>
    </fill>
    <fill>
      <patternFill patternType="solid">
        <fgColor rgb="FFFFCCCC"/>
        <bgColor indexed="64"/>
      </patternFill>
    </fill>
    <fill>
      <patternFill patternType="solid">
        <fgColor rgb="FFFD9E8B"/>
        <bgColor indexed="64"/>
      </patternFill>
    </fill>
    <fill>
      <patternFill patternType="solid">
        <fgColor rgb="FF03F71A"/>
        <bgColor indexed="64"/>
      </patternFill>
    </fill>
    <fill>
      <patternFill patternType="solid">
        <fgColor theme="3" tint="0.79998168889431442"/>
        <bgColor indexed="64"/>
      </patternFill>
    </fill>
    <fill>
      <patternFill patternType="solid">
        <fgColor rgb="FFFFC5D1"/>
        <bgColor indexed="64"/>
      </patternFill>
    </fill>
    <fill>
      <patternFill patternType="solid">
        <fgColor rgb="FFB1FBFD"/>
        <bgColor indexed="64"/>
      </patternFill>
    </fill>
    <fill>
      <patternFill patternType="solid">
        <fgColor rgb="FFD1FFD1"/>
        <bgColor indexed="64"/>
      </patternFill>
    </fill>
    <fill>
      <patternFill patternType="solid">
        <fgColor theme="0" tint="-0.14999847407452621"/>
        <bgColor indexed="64"/>
      </patternFill>
    </fill>
    <fill>
      <patternFill patternType="solid">
        <fgColor rgb="FFFF9999"/>
        <bgColor indexed="64"/>
      </patternFill>
    </fill>
    <fill>
      <patternFill patternType="solid">
        <fgColor rgb="FF0BE325"/>
        <bgColor indexed="64"/>
      </patternFill>
    </fill>
    <fill>
      <patternFill patternType="solid">
        <fgColor rgb="FFCCECFF"/>
        <bgColor indexed="64"/>
      </patternFill>
    </fill>
    <fill>
      <patternFill patternType="solid">
        <fgColor theme="0" tint="-0.34998626667073579"/>
        <bgColor indexed="64"/>
      </patternFill>
    </fill>
    <fill>
      <patternFill patternType="solid">
        <fgColor rgb="FF99CCFF"/>
        <bgColor indexed="64"/>
      </patternFill>
    </fill>
    <fill>
      <patternFill patternType="solid">
        <fgColor rgb="FF99FF99"/>
        <bgColor indexed="64"/>
      </patternFill>
    </fill>
    <fill>
      <patternFill patternType="solid">
        <fgColor rgb="FF09E70E"/>
        <bgColor indexed="64"/>
      </patternFill>
    </fill>
  </fills>
  <borders count="62">
    <border>
      <left/>
      <right/>
      <top/>
      <bottom/>
      <diagonal/>
    </border>
    <border>
      <left style="thin">
        <color rgb="FF003742"/>
      </left>
      <right style="thin">
        <color rgb="FF003742"/>
      </right>
      <top style="thin">
        <color rgb="FF003742"/>
      </top>
      <bottom style="thin">
        <color rgb="FF003742"/>
      </bottom>
      <diagonal/>
    </border>
    <border>
      <left style="medium">
        <color rgb="FF003742"/>
      </left>
      <right/>
      <top style="medium">
        <color rgb="FF003742"/>
      </top>
      <bottom style="medium">
        <color rgb="FF003742"/>
      </bottom>
      <diagonal/>
    </border>
    <border>
      <left style="medium">
        <color rgb="FF003742"/>
      </left>
      <right/>
      <top/>
      <bottom style="thin">
        <color rgb="FF003742"/>
      </bottom>
      <diagonal/>
    </border>
    <border>
      <left style="medium">
        <color rgb="FF003742"/>
      </left>
      <right/>
      <top style="thin">
        <color rgb="FF003742"/>
      </top>
      <bottom style="thin">
        <color rgb="FF003742"/>
      </bottom>
      <diagonal/>
    </border>
    <border>
      <left style="medium">
        <color rgb="FF003742"/>
      </left>
      <right/>
      <top style="medium">
        <color rgb="FF003742"/>
      </top>
      <bottom style="thin">
        <color rgb="FF003742"/>
      </bottom>
      <diagonal/>
    </border>
    <border>
      <left style="medium">
        <color rgb="FF003742"/>
      </left>
      <right/>
      <top style="medium">
        <color rgb="FF003742"/>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3742"/>
      </left>
      <right/>
      <top style="thin">
        <color rgb="FF003742"/>
      </top>
      <bottom/>
      <diagonal/>
    </border>
    <border>
      <left style="thin">
        <color indexed="64"/>
      </left>
      <right style="thin">
        <color indexed="64"/>
      </right>
      <top style="thin">
        <color indexed="64"/>
      </top>
      <bottom style="thin">
        <color indexed="64"/>
      </bottom>
      <diagonal/>
    </border>
    <border>
      <left style="thin">
        <color rgb="FF003742"/>
      </left>
      <right/>
      <top style="thin">
        <color rgb="FF003742"/>
      </top>
      <bottom style="thin">
        <color rgb="FF00374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
      <left/>
      <right style="thin">
        <color indexed="64"/>
      </right>
      <top/>
      <bottom/>
      <diagonal/>
    </border>
    <border>
      <left style="thin">
        <color rgb="FF003742"/>
      </left>
      <right style="thin">
        <color rgb="FF003742"/>
      </right>
      <top style="thin">
        <color rgb="FF003742"/>
      </top>
      <bottom/>
      <diagonal/>
    </border>
    <border>
      <left style="thin">
        <color rgb="FF003742"/>
      </left>
      <right/>
      <top style="thin">
        <color rgb="FF003742"/>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58"/>
      </left>
      <right style="thin">
        <color indexed="58"/>
      </right>
      <top style="thin">
        <color indexed="58"/>
      </top>
      <bottom style="thin">
        <color indexed="58"/>
      </bottom>
      <diagonal/>
    </border>
    <border>
      <left style="thin">
        <color indexed="58"/>
      </left>
      <right style="thin">
        <color indexed="58"/>
      </right>
      <top style="thin">
        <color indexed="58"/>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rgb="FF003742"/>
      </right>
      <top style="thin">
        <color rgb="FF003742"/>
      </top>
      <bottom style="thin">
        <color rgb="FF003742"/>
      </bottom>
      <diagonal/>
    </border>
    <border>
      <left style="thin">
        <color rgb="FF003742"/>
      </left>
      <right style="thin">
        <color rgb="FF003742"/>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9" fontId="1" fillId="0" borderId="0" applyFont="0" applyFill="0" applyBorder="0" applyAlignment="0" applyProtection="0"/>
    <xf numFmtId="43" fontId="1" fillId="0" borderId="0" applyFont="0" applyFill="0" applyBorder="0" applyAlignment="0" applyProtection="0"/>
    <xf numFmtId="0" fontId="10" fillId="0" borderId="0"/>
    <xf numFmtId="170" fontId="10" fillId="0" borderId="0" applyFont="0" applyFill="0" applyBorder="0" applyAlignment="0" applyProtection="0"/>
    <xf numFmtId="0" fontId="19" fillId="0" borderId="0"/>
    <xf numFmtId="0" fontId="37" fillId="0" borderId="0" applyNumberFormat="0" applyFill="0" applyBorder="0" applyAlignment="0" applyProtection="0"/>
  </cellStyleXfs>
  <cellXfs count="1037">
    <xf numFmtId="0" fontId="0" fillId="0" borderId="0" xfId="0"/>
    <xf numFmtId="0" fontId="0" fillId="0" borderId="0" xfId="0"/>
    <xf numFmtId="0" fontId="0" fillId="0" borderId="0" xfId="0" applyBorder="1"/>
    <xf numFmtId="0" fontId="2" fillId="0" borderId="0" xfId="0" applyFont="1"/>
    <xf numFmtId="0" fontId="3" fillId="0" borderId="0" xfId="0" applyFont="1"/>
    <xf numFmtId="0" fontId="4" fillId="0" borderId="0" xfId="0" applyFont="1" applyAlignment="1">
      <alignment horizontal="center"/>
    </xf>
    <xf numFmtId="0" fontId="7" fillId="0" borderId="0" xfId="0" applyFont="1" applyBorder="1" applyAlignment="1">
      <alignment horizontal="right"/>
    </xf>
    <xf numFmtId="0" fontId="4" fillId="0" borderId="0" xfId="0" applyFont="1" applyAlignment="1">
      <alignment horizontal="center"/>
    </xf>
    <xf numFmtId="0" fontId="4" fillId="0" borderId="0" xfId="0" applyFont="1"/>
    <xf numFmtId="0" fontId="5" fillId="0" borderId="10" xfId="0" applyFont="1" applyFill="1" applyBorder="1" applyAlignment="1">
      <alignment vertical="justify"/>
    </xf>
    <xf numFmtId="0" fontId="0" fillId="0" borderId="0" xfId="0"/>
    <xf numFmtId="0" fontId="2" fillId="0" borderId="0" xfId="0" applyFont="1"/>
    <xf numFmtId="0" fontId="3" fillId="0" borderId="0" xfId="0" applyFont="1"/>
    <xf numFmtId="0" fontId="5" fillId="0" borderId="2" xfId="0" applyFont="1" applyBorder="1"/>
    <xf numFmtId="0" fontId="5" fillId="0" borderId="3" xfId="0" applyFont="1" applyBorder="1" applyAlignment="1">
      <alignment vertical="justify"/>
    </xf>
    <xf numFmtId="0" fontId="5" fillId="0" borderId="4" xfId="0" applyFont="1" applyBorder="1" applyAlignment="1">
      <alignment vertical="justify"/>
    </xf>
    <xf numFmtId="0" fontId="7" fillId="0" borderId="0" xfId="0" applyFont="1" applyBorder="1" applyAlignment="1">
      <alignment horizontal="right"/>
    </xf>
    <xf numFmtId="0" fontId="5" fillId="0" borderId="2" xfId="0" applyFont="1" applyBorder="1" applyAlignment="1">
      <alignment horizontal="right"/>
    </xf>
    <xf numFmtId="0" fontId="0" fillId="0" borderId="0" xfId="0"/>
    <xf numFmtId="167" fontId="9" fillId="0" borderId="14" xfId="2" applyNumberFormat="1" applyFont="1" applyFill="1" applyBorder="1"/>
    <xf numFmtId="0" fontId="9" fillId="0" borderId="7" xfId="0" applyFont="1" applyBorder="1"/>
    <xf numFmtId="0" fontId="9" fillId="0" borderId="18" xfId="0" applyFont="1" applyBorder="1"/>
    <xf numFmtId="167" fontId="0" fillId="0" borderId="13" xfId="2" applyNumberFormat="1" applyFont="1" applyBorder="1"/>
    <xf numFmtId="167" fontId="0" fillId="0" borderId="14" xfId="2" applyNumberFormat="1" applyFont="1" applyBorder="1"/>
    <xf numFmtId="167" fontId="9" fillId="0" borderId="16" xfId="2" applyNumberFormat="1" applyFont="1" applyBorder="1"/>
    <xf numFmtId="0" fontId="9" fillId="0" borderId="0" xfId="0" applyFont="1"/>
    <xf numFmtId="0" fontId="9" fillId="0" borderId="15" xfId="0" applyFont="1" applyBorder="1"/>
    <xf numFmtId="0" fontId="11" fillId="0" borderId="0" xfId="0" applyFont="1"/>
    <xf numFmtId="0" fontId="9" fillId="0" borderId="16" xfId="0" applyFont="1" applyBorder="1" applyAlignment="1">
      <alignment horizontal="center"/>
    </xf>
    <xf numFmtId="0" fontId="9" fillId="0" borderId="8" xfId="0" applyFont="1" applyBorder="1" applyAlignment="1">
      <alignment horizontal="center"/>
    </xf>
    <xf numFmtId="167" fontId="0" fillId="0" borderId="0" xfId="2" applyNumberFormat="1" applyFont="1" applyBorder="1"/>
    <xf numFmtId="167" fontId="9" fillId="0" borderId="8" xfId="2" applyNumberFormat="1" applyFont="1" applyBorder="1"/>
    <xf numFmtId="167" fontId="0" fillId="0" borderId="17" xfId="2" applyNumberFormat="1" applyFont="1" applyBorder="1"/>
    <xf numFmtId="167" fontId="9" fillId="0" borderId="13" xfId="2" applyNumberFormat="1" applyFont="1" applyBorder="1"/>
    <xf numFmtId="167" fontId="9" fillId="0" borderId="14" xfId="2" applyNumberFormat="1" applyFont="1" applyBorder="1"/>
    <xf numFmtId="0" fontId="9" fillId="0" borderId="0" xfId="0" applyFont="1" applyFill="1" applyBorder="1"/>
    <xf numFmtId="0" fontId="9" fillId="0" borderId="15" xfId="0" applyFont="1" applyFill="1" applyBorder="1"/>
    <xf numFmtId="0" fontId="0" fillId="0" borderId="0" xfId="0"/>
    <xf numFmtId="0" fontId="4" fillId="0" borderId="0" xfId="0" applyFont="1" applyAlignment="1">
      <alignment horizontal="center"/>
    </xf>
    <xf numFmtId="0" fontId="13" fillId="0" borderId="0" xfId="0" applyFont="1"/>
    <xf numFmtId="0" fontId="15" fillId="0" borderId="0" xfId="0" applyFont="1" applyAlignment="1">
      <alignment horizontal="center"/>
    </xf>
    <xf numFmtId="0" fontId="13" fillId="0" borderId="0" xfId="0" applyFont="1" applyBorder="1"/>
    <xf numFmtId="0" fontId="2"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7" fillId="0" borderId="0" xfId="0" applyFont="1" applyBorder="1" applyAlignment="1">
      <alignment horizontal="right" vertical="center"/>
    </xf>
    <xf numFmtId="0" fontId="0" fillId="0" borderId="0" xfId="0" applyBorder="1" applyAlignment="1">
      <alignment vertical="center"/>
    </xf>
    <xf numFmtId="0" fontId="18" fillId="0" borderId="0" xfId="0" applyFont="1"/>
    <xf numFmtId="0" fontId="19" fillId="2" borderId="0" xfId="5" applyFont="1" applyFill="1"/>
    <xf numFmtId="0" fontId="21" fillId="3" borderId="0" xfId="5" applyFont="1" applyFill="1"/>
    <xf numFmtId="0" fontId="22" fillId="4" borderId="0" xfId="0" applyFont="1" applyFill="1"/>
    <xf numFmtId="0" fontId="21" fillId="5" borderId="0" xfId="0" applyFont="1" applyFill="1" applyAlignment="1">
      <alignment horizontal="right"/>
    </xf>
    <xf numFmtId="0" fontId="21" fillId="5" borderId="0" xfId="0" applyFont="1" applyFill="1" applyAlignment="1">
      <alignment horizontal="left"/>
    </xf>
    <xf numFmtId="0" fontId="19" fillId="5" borderId="0" xfId="0" applyFont="1" applyFill="1"/>
    <xf numFmtId="168" fontId="19" fillId="5" borderId="0" xfId="0" applyNumberFormat="1" applyFont="1" applyFill="1"/>
    <xf numFmtId="0" fontId="21" fillId="5" borderId="0" xfId="0" applyFont="1" applyFill="1"/>
    <xf numFmtId="168" fontId="21" fillId="5" borderId="0" xfId="0" applyNumberFormat="1" applyFont="1" applyFill="1"/>
    <xf numFmtId="165" fontId="3" fillId="0" borderId="11" xfId="1" applyNumberFormat="1" applyFont="1" applyBorder="1"/>
    <xf numFmtId="0" fontId="5" fillId="0" borderId="11" xfId="0" applyFont="1" applyBorder="1"/>
    <xf numFmtId="1" fontId="3" fillId="0" borderId="21" xfId="0" applyNumberFormat="1" applyFont="1" applyBorder="1"/>
    <xf numFmtId="165" fontId="3" fillId="0" borderId="21" xfId="1" applyNumberFormat="1" applyFont="1" applyBorder="1"/>
    <xf numFmtId="9" fontId="0" fillId="0" borderId="0" xfId="0" applyNumberFormat="1"/>
    <xf numFmtId="167" fontId="23" fillId="0" borderId="11" xfId="0" applyNumberFormat="1" applyFont="1" applyBorder="1"/>
    <xf numFmtId="9" fontId="23" fillId="0" borderId="11" xfId="0" applyNumberFormat="1" applyFont="1" applyBorder="1"/>
    <xf numFmtId="1" fontId="17" fillId="0" borderId="11" xfId="0" applyNumberFormat="1" applyFont="1" applyBorder="1"/>
    <xf numFmtId="0" fontId="6" fillId="0" borderId="11" xfId="0" applyFont="1" applyBorder="1"/>
    <xf numFmtId="0" fontId="3" fillId="0" borderId="11" xfId="0" applyFont="1" applyBorder="1"/>
    <xf numFmtId="0" fontId="5" fillId="0" borderId="22" xfId="0" applyFont="1" applyBorder="1"/>
    <xf numFmtId="0" fontId="9" fillId="0" borderId="22" xfId="0" applyFont="1" applyBorder="1"/>
    <xf numFmtId="0" fontId="5" fillId="0" borderId="11" xfId="0" applyFont="1" applyBorder="1" applyAlignment="1">
      <alignment horizontal="center"/>
    </xf>
    <xf numFmtId="9" fontId="5" fillId="0" borderId="11" xfId="1" applyFont="1" applyBorder="1"/>
    <xf numFmtId="0" fontId="0" fillId="0" borderId="0" xfId="0" applyAlignment="1">
      <alignment horizontal="left"/>
    </xf>
    <xf numFmtId="165" fontId="5" fillId="0" borderId="21" xfId="1" applyNumberFormat="1" applyFont="1" applyBorder="1"/>
    <xf numFmtId="165" fontId="5" fillId="0" borderId="11" xfId="1" applyNumberFormat="1" applyFont="1" applyBorder="1"/>
    <xf numFmtId="0" fontId="5" fillId="0" borderId="23" xfId="0" applyFont="1" applyBorder="1" applyAlignment="1"/>
    <xf numFmtId="0" fontId="17" fillId="0" borderId="0" xfId="0" applyFont="1"/>
    <xf numFmtId="0" fontId="26" fillId="0" borderId="0" xfId="0" applyFont="1" applyBorder="1" applyAlignment="1">
      <alignment horizontal="right"/>
    </xf>
    <xf numFmtId="1" fontId="5" fillId="0" borderId="21" xfId="0" applyNumberFormat="1" applyFont="1" applyBorder="1"/>
    <xf numFmtId="43" fontId="25" fillId="0" borderId="0" xfId="0" applyNumberFormat="1" applyFont="1" applyAlignment="1">
      <alignment vertical="justify"/>
    </xf>
    <xf numFmtId="0" fontId="17" fillId="0" borderId="0" xfId="0" applyFont="1" applyAlignment="1">
      <alignment vertical="justify"/>
    </xf>
    <xf numFmtId="1" fontId="6" fillId="0" borderId="22" xfId="0" applyNumberFormat="1" applyFont="1" applyBorder="1" applyAlignment="1">
      <alignment horizontal="center"/>
    </xf>
    <xf numFmtId="1" fontId="5" fillId="0" borderId="11" xfId="0" applyNumberFormat="1" applyFont="1" applyBorder="1"/>
    <xf numFmtId="164" fontId="3" fillId="0" borderId="0" xfId="0" applyNumberFormat="1" applyFont="1" applyBorder="1" applyAlignment="1">
      <alignment horizontal="center" vertical="justify"/>
    </xf>
    <xf numFmtId="0" fontId="0" fillId="0" borderId="0" xfId="0" applyBorder="1" applyAlignment="1">
      <alignment horizontal="right"/>
    </xf>
    <xf numFmtId="0" fontId="3" fillId="0" borderId="0" xfId="0" applyFont="1" applyBorder="1" applyAlignment="1">
      <alignment horizontal="right" vertical="center"/>
    </xf>
    <xf numFmtId="164" fontId="3" fillId="0" borderId="0" xfId="0" applyNumberFormat="1" applyFont="1" applyBorder="1" applyAlignment="1">
      <alignment horizontal="left" vertical="center"/>
    </xf>
    <xf numFmtId="164" fontId="3" fillId="0" borderId="0" xfId="0" applyNumberFormat="1" applyFont="1" applyBorder="1" applyAlignment="1">
      <alignment vertical="center"/>
    </xf>
    <xf numFmtId="164" fontId="3" fillId="0" borderId="0" xfId="0" applyNumberFormat="1" applyFont="1" applyBorder="1" applyAlignment="1">
      <alignment horizontal="center" vertical="center"/>
    </xf>
    <xf numFmtId="168" fontId="3" fillId="0" borderId="0" xfId="0" applyNumberFormat="1" applyFont="1" applyBorder="1" applyAlignment="1">
      <alignment horizontal="right" vertical="center"/>
    </xf>
    <xf numFmtId="2" fontId="3" fillId="0" borderId="0" xfId="0" applyNumberFormat="1" applyFont="1" applyFill="1" applyBorder="1" applyAlignment="1">
      <alignment horizontal="right" vertical="center"/>
    </xf>
    <xf numFmtId="9" fontId="13" fillId="0" borderId="0" xfId="1" applyFont="1" applyBorder="1" applyAlignment="1">
      <alignment horizontal="right" vertical="center"/>
    </xf>
    <xf numFmtId="165" fontId="13" fillId="0" borderId="0" xfId="1" applyNumberFormat="1" applyFont="1" applyBorder="1" applyAlignment="1">
      <alignment horizontal="right" vertical="center"/>
    </xf>
    <xf numFmtId="0" fontId="0" fillId="0" borderId="0" xfId="0" applyBorder="1" applyAlignment="1">
      <alignment horizontal="right" vertical="center"/>
    </xf>
    <xf numFmtId="164" fontId="3" fillId="0" borderId="0" xfId="0" applyNumberFormat="1" applyFont="1" applyBorder="1" applyAlignment="1">
      <alignment horizontal="right" vertical="justify"/>
    </xf>
    <xf numFmtId="167" fontId="3" fillId="0" borderId="0" xfId="2" applyNumberFormat="1" applyFont="1" applyBorder="1" applyAlignment="1">
      <alignment horizontal="right" vertical="justify"/>
    </xf>
    <xf numFmtId="166" fontId="3" fillId="0" borderId="0" xfId="2" applyNumberFormat="1" applyFont="1" applyFill="1" applyBorder="1" applyAlignment="1">
      <alignment horizontal="right" vertical="justify"/>
    </xf>
    <xf numFmtId="10" fontId="3" fillId="0" borderId="0" xfId="1" applyNumberFormat="1" applyFont="1" applyBorder="1" applyAlignment="1">
      <alignment horizontal="right"/>
    </xf>
    <xf numFmtId="169" fontId="3" fillId="0" borderId="0" xfId="1" applyNumberFormat="1" applyFont="1" applyBorder="1" applyAlignment="1">
      <alignment horizontal="right"/>
    </xf>
    <xf numFmtId="0" fontId="20" fillId="6" borderId="0" xfId="5" applyFont="1" applyFill="1" applyAlignment="1">
      <alignment horizontal="center"/>
    </xf>
    <xf numFmtId="0" fontId="21" fillId="3" borderId="0" xfId="0" applyFont="1" applyFill="1"/>
    <xf numFmtId="1" fontId="0" fillId="3" borderId="0" xfId="0" applyNumberFormat="1" applyFill="1"/>
    <xf numFmtId="0" fontId="20" fillId="7" borderId="0" xfId="5" applyFont="1" applyFill="1" applyAlignment="1">
      <alignment horizontal="center"/>
    </xf>
    <xf numFmtId="0" fontId="21" fillId="7" borderId="0" xfId="5" applyFont="1" applyFill="1" applyAlignment="1">
      <alignment horizontal="center"/>
    </xf>
    <xf numFmtId="1" fontId="0" fillId="2" borderId="0" xfId="0" applyNumberFormat="1" applyFill="1"/>
    <xf numFmtId="1" fontId="19" fillId="2" borderId="0" xfId="5" applyNumberFormat="1" applyFont="1" applyFill="1"/>
    <xf numFmtId="1" fontId="21" fillId="3" borderId="0" xfId="5" applyNumberFormat="1" applyFont="1" applyFill="1"/>
    <xf numFmtId="0" fontId="4" fillId="0" borderId="0" xfId="0" applyFont="1" applyAlignment="1">
      <alignment horizontal="center"/>
    </xf>
    <xf numFmtId="0" fontId="0" fillId="0" borderId="0" xfId="0" applyFill="1" applyBorder="1"/>
    <xf numFmtId="164" fontId="17" fillId="0" borderId="0" xfId="0" applyNumberFormat="1" applyFont="1" applyAlignment="1">
      <alignment vertical="justify"/>
    </xf>
    <xf numFmtId="43" fontId="26" fillId="0" borderId="0" xfId="0" applyNumberFormat="1" applyFont="1" applyAlignment="1">
      <alignment vertical="justify"/>
    </xf>
    <xf numFmtId="167" fontId="25" fillId="0" borderId="0" xfId="0" applyNumberFormat="1" applyFont="1" applyAlignment="1">
      <alignment vertical="justify"/>
    </xf>
    <xf numFmtId="0" fontId="4" fillId="0" borderId="0" xfId="0" applyFont="1" applyAlignment="1">
      <alignment horizontal="center"/>
    </xf>
    <xf numFmtId="0" fontId="4" fillId="0" borderId="0" xfId="0" applyFont="1" applyAlignment="1">
      <alignment horizontal="center"/>
    </xf>
    <xf numFmtId="0" fontId="0" fillId="9" borderId="11" xfId="0" applyFill="1" applyBorder="1"/>
    <xf numFmtId="0" fontId="0" fillId="10" borderId="11" xfId="0" applyFill="1" applyBorder="1"/>
    <xf numFmtId="0" fontId="0" fillId="11" borderId="11" xfId="0" applyFill="1" applyBorder="1" applyAlignment="1">
      <alignment horizontal="center" vertical="center" wrapText="1"/>
    </xf>
    <xf numFmtId="0" fontId="0" fillId="12" borderId="11" xfId="0" applyFill="1" applyBorder="1" applyAlignment="1">
      <alignment horizontal="center" vertical="center" wrapText="1"/>
    </xf>
    <xf numFmtId="0" fontId="0" fillId="11" borderId="11" xfId="0" applyFill="1" applyBorder="1" applyAlignment="1">
      <alignment horizontal="center" vertical="center"/>
    </xf>
    <xf numFmtId="0" fontId="0" fillId="12" borderId="11" xfId="0" applyFill="1" applyBorder="1" applyAlignment="1">
      <alignment horizontal="center" vertical="center"/>
    </xf>
    <xf numFmtId="1" fontId="0" fillId="0" borderId="0" xfId="0" applyNumberFormat="1"/>
    <xf numFmtId="1" fontId="0" fillId="0" borderId="0" xfId="0" applyNumberFormat="1" applyAlignment="1">
      <alignment vertical="center"/>
    </xf>
    <xf numFmtId="1" fontId="0" fillId="12" borderId="0" xfId="0" applyNumberFormat="1" applyFill="1" applyAlignment="1">
      <alignment vertical="center"/>
    </xf>
    <xf numFmtId="0" fontId="0" fillId="11" borderId="11" xfId="0" applyFill="1" applyBorder="1" applyAlignment="1">
      <alignment vertical="center"/>
    </xf>
    <xf numFmtId="0" fontId="0" fillId="11" borderId="11" xfId="0" applyFill="1" applyBorder="1" applyAlignment="1">
      <alignment wrapText="1"/>
    </xf>
    <xf numFmtId="0" fontId="0" fillId="12" borderId="11" xfId="0" applyFill="1" applyBorder="1" applyAlignment="1">
      <alignment wrapText="1"/>
    </xf>
    <xf numFmtId="0" fontId="0" fillId="11" borderId="11" xfId="0" applyFill="1" applyBorder="1"/>
    <xf numFmtId="0" fontId="0" fillId="12" borderId="11" xfId="0" applyFill="1" applyBorder="1"/>
    <xf numFmtId="1" fontId="0" fillId="11" borderId="11" xfId="0" applyNumberFormat="1" applyFill="1" applyBorder="1" applyAlignment="1">
      <alignment horizontal="center" vertical="center" wrapText="1"/>
    </xf>
    <xf numFmtId="1" fontId="0" fillId="12" borderId="11" xfId="0" applyNumberFormat="1" applyFill="1" applyBorder="1" applyAlignment="1">
      <alignment horizontal="center" vertical="center" wrapText="1"/>
    </xf>
    <xf numFmtId="1" fontId="0" fillId="12" borderId="0" xfId="0" applyNumberFormat="1" applyFill="1" applyAlignment="1">
      <alignment horizontal="center" vertical="center" wrapText="1"/>
    </xf>
    <xf numFmtId="0" fontId="31" fillId="11" borderId="11" xfId="0" applyFont="1" applyFill="1" applyBorder="1" applyAlignment="1">
      <alignment horizontal="center" vertical="center" wrapText="1"/>
    </xf>
    <xf numFmtId="0" fontId="31" fillId="12" borderId="11" xfId="0" applyFont="1" applyFill="1" applyBorder="1" applyAlignment="1">
      <alignment horizontal="center" vertical="center" wrapText="1"/>
    </xf>
    <xf numFmtId="0" fontId="0" fillId="11" borderId="0" xfId="0" applyFill="1" applyAlignment="1">
      <alignment horizontal="center" vertical="center"/>
    </xf>
    <xf numFmtId="0" fontId="0" fillId="13" borderId="11" xfId="0" applyFill="1" applyBorder="1" applyAlignment="1">
      <alignment horizontal="center" vertical="center"/>
    </xf>
    <xf numFmtId="1" fontId="0" fillId="12" borderId="0" xfId="0" applyNumberFormat="1" applyFill="1" applyAlignment="1">
      <alignment horizontal="center" vertical="center"/>
    </xf>
    <xf numFmtId="0" fontId="0" fillId="0" borderId="0" xfId="0" applyAlignment="1">
      <alignment horizontal="center" vertical="center"/>
    </xf>
    <xf numFmtId="0" fontId="0" fillId="12" borderId="24" xfId="0" applyFill="1" applyBorder="1" applyAlignment="1">
      <alignment horizontal="center" vertical="center"/>
    </xf>
    <xf numFmtId="0" fontId="0" fillId="12" borderId="0" xfId="0" applyFill="1" applyAlignment="1">
      <alignment horizontal="center" vertical="center"/>
    </xf>
    <xf numFmtId="0" fontId="0" fillId="12" borderId="25" xfId="0" applyFill="1" applyBorder="1" applyAlignment="1">
      <alignment horizontal="center" vertical="center"/>
    </xf>
    <xf numFmtId="0" fontId="0" fillId="11" borderId="11" xfId="0" applyFill="1" applyBorder="1" applyAlignment="1">
      <alignment horizontal="center" vertical="center"/>
    </xf>
    <xf numFmtId="0" fontId="0" fillId="12" borderId="11" xfId="0" applyFill="1" applyBorder="1" applyAlignment="1">
      <alignment horizontal="center" vertical="center"/>
    </xf>
    <xf numFmtId="1" fontId="0" fillId="12" borderId="11" xfId="0" applyNumberFormat="1" applyFill="1" applyBorder="1" applyAlignment="1">
      <alignment horizontal="center" vertical="center"/>
    </xf>
    <xf numFmtId="0" fontId="0" fillId="0" borderId="11" xfId="0" applyBorder="1" applyAlignment="1">
      <alignment horizontal="center" vertical="center"/>
    </xf>
    <xf numFmtId="1" fontId="0" fillId="13" borderId="11" xfId="0" applyNumberFormat="1" applyFill="1" applyBorder="1" applyAlignment="1">
      <alignment horizontal="center" vertical="center"/>
    </xf>
    <xf numFmtId="0" fontId="17" fillId="12" borderId="11" xfId="0" applyFont="1" applyFill="1" applyBorder="1" applyAlignment="1">
      <alignment horizontal="center" vertical="center"/>
    </xf>
    <xf numFmtId="0" fontId="0" fillId="12" borderId="25" xfId="0" applyFill="1" applyBorder="1" applyAlignment="1">
      <alignment horizontal="center" vertical="center" wrapText="1"/>
    </xf>
    <xf numFmtId="0" fontId="4" fillId="0" borderId="0" xfId="0" applyFont="1" applyAlignment="1">
      <alignment horizontal="center"/>
    </xf>
    <xf numFmtId="0" fontId="0" fillId="0" borderId="0" xfId="0" applyAlignment="1">
      <alignment horizontal="center" vertical="center"/>
    </xf>
    <xf numFmtId="0" fontId="32" fillId="0" borderId="22" xfId="0" applyFont="1" applyBorder="1" applyAlignment="1">
      <alignment horizontal="center" wrapText="1"/>
    </xf>
    <xf numFmtId="0" fontId="32" fillId="0" borderId="27" xfId="0" applyFont="1" applyBorder="1" applyAlignment="1">
      <alignment horizontal="center" wrapText="1"/>
    </xf>
    <xf numFmtId="0" fontId="32" fillId="0" borderId="11" xfId="0" applyFont="1" applyBorder="1" applyAlignment="1">
      <alignment horizontal="center" wrapText="1"/>
    </xf>
    <xf numFmtId="0" fontId="32" fillId="0" borderId="26" xfId="0" applyFont="1" applyBorder="1" applyAlignment="1">
      <alignment horizontal="center" wrapText="1"/>
    </xf>
    <xf numFmtId="0" fontId="0" fillId="0" borderId="22" xfId="0" applyBorder="1" applyAlignment="1">
      <alignment horizontal="center" vertical="center"/>
    </xf>
    <xf numFmtId="0" fontId="0" fillId="0" borderId="11" xfId="0" applyBorder="1"/>
    <xf numFmtId="1" fontId="0" fillId="0" borderId="11" xfId="0" applyNumberFormat="1" applyFill="1" applyBorder="1" applyAlignment="1">
      <alignment horizontal="center" vertical="center"/>
    </xf>
    <xf numFmtId="0" fontId="0" fillId="0" borderId="27" xfId="0" applyBorder="1" applyAlignment="1">
      <alignment horizontal="center" vertical="center"/>
    </xf>
    <xf numFmtId="1" fontId="0" fillId="0" borderId="11" xfId="0" applyNumberFormat="1" applyBorder="1" applyAlignment="1">
      <alignment horizontal="center" vertical="center"/>
    </xf>
    <xf numFmtId="0" fontId="0" fillId="0" borderId="11" xfId="0" applyFill="1" applyBorder="1" applyAlignment="1">
      <alignment horizontal="center" vertical="center"/>
    </xf>
    <xf numFmtId="1" fontId="0" fillId="0" borderId="11" xfId="0" applyNumberFormat="1" applyBorder="1"/>
    <xf numFmtId="0" fontId="35" fillId="14" borderId="28" xfId="0" applyFont="1" applyFill="1" applyBorder="1" applyAlignment="1">
      <alignment horizontal="center"/>
    </xf>
    <xf numFmtId="168" fontId="0" fillId="0" borderId="11" xfId="0" applyNumberFormat="1" applyBorder="1" applyAlignment="1">
      <alignment horizontal="right" vertical="center"/>
    </xf>
    <xf numFmtId="1"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wrapText="1"/>
    </xf>
    <xf numFmtId="0" fontId="0" fillId="0" borderId="29" xfId="0" applyBorder="1" applyAlignment="1">
      <alignment horizontal="center" wrapText="1"/>
    </xf>
    <xf numFmtId="0" fontId="32" fillId="0" borderId="26" xfId="0" applyFont="1" applyBorder="1" applyAlignment="1">
      <alignment wrapText="1"/>
    </xf>
    <xf numFmtId="0" fontId="32" fillId="0" borderId="27" xfId="0" applyFont="1" applyBorder="1" applyAlignment="1">
      <alignment wrapText="1"/>
    </xf>
    <xf numFmtId="1" fontId="0" fillId="0" borderId="11" xfId="0" applyNumberFormat="1" applyBorder="1" applyAlignment="1">
      <alignment horizontal="center"/>
    </xf>
    <xf numFmtId="0" fontId="0" fillId="0" borderId="0" xfId="0" applyFill="1" applyBorder="1" applyAlignment="1">
      <alignment horizontal="center" vertical="center"/>
    </xf>
    <xf numFmtId="0" fontId="9" fillId="0" borderId="11" xfId="0" applyFont="1" applyBorder="1"/>
    <xf numFmtId="168" fontId="0" fillId="0" borderId="11" xfId="0" applyNumberFormat="1" applyBorder="1"/>
    <xf numFmtId="171" fontId="0" fillId="0" borderId="0" xfId="0" applyNumberFormat="1"/>
    <xf numFmtId="10" fontId="0" fillId="0" borderId="0" xfId="0" applyNumberFormat="1"/>
    <xf numFmtId="0" fontId="16" fillId="6" borderId="11" xfId="0" applyFont="1" applyFill="1" applyBorder="1" applyAlignment="1">
      <alignment horizontal="center" vertical="center"/>
    </xf>
    <xf numFmtId="0" fontId="5" fillId="8" borderId="11" xfId="0" applyFont="1" applyFill="1" applyBorder="1" applyAlignment="1">
      <alignment horizontal="center" vertical="center"/>
    </xf>
    <xf numFmtId="0" fontId="7" fillId="0" borderId="11" xfId="0" applyFont="1" applyBorder="1" applyAlignment="1">
      <alignment horizontal="center" vertical="center"/>
    </xf>
    <xf numFmtId="0" fontId="3" fillId="0" borderId="0" xfId="0" applyFont="1" applyBorder="1" applyAlignment="1">
      <alignment horizontal="right" vertical="justify"/>
    </xf>
    <xf numFmtId="164" fontId="3" fillId="0" borderId="0" xfId="0" applyNumberFormat="1" applyFont="1" applyBorder="1" applyAlignment="1">
      <alignment horizontal="left" vertical="justify"/>
    </xf>
    <xf numFmtId="164" fontId="3" fillId="0" borderId="0" xfId="0" applyNumberFormat="1" applyFont="1" applyBorder="1" applyAlignment="1">
      <alignment vertical="justify"/>
    </xf>
    <xf numFmtId="168" fontId="3" fillId="0" borderId="0" xfId="0" applyNumberFormat="1" applyFont="1" applyBorder="1" applyAlignment="1">
      <alignment horizontal="right" vertical="justify"/>
    </xf>
    <xf numFmtId="2" fontId="3" fillId="0" borderId="0" xfId="0" applyNumberFormat="1" applyFont="1" applyFill="1" applyBorder="1" applyAlignment="1">
      <alignment horizontal="right" vertical="justify"/>
    </xf>
    <xf numFmtId="9" fontId="13" fillId="0" borderId="0" xfId="1" applyFont="1" applyBorder="1" applyAlignment="1">
      <alignment horizontal="right"/>
    </xf>
    <xf numFmtId="0" fontId="0" fillId="13" borderId="11" xfId="0" applyFill="1" applyBorder="1" applyAlignment="1">
      <alignment horizontal="center" vertical="center" wrapText="1"/>
    </xf>
    <xf numFmtId="165" fontId="0" fillId="0" borderId="11" xfId="1" applyNumberFormat="1" applyFont="1" applyBorder="1"/>
    <xf numFmtId="0" fontId="4" fillId="0" borderId="0" xfId="0" applyFont="1" applyAlignment="1">
      <alignment horizontal="center"/>
    </xf>
    <xf numFmtId="0" fontId="0" fillId="13" borderId="11" xfId="0" applyFill="1" applyBorder="1" applyAlignment="1">
      <alignment horizontal="center" vertical="center"/>
    </xf>
    <xf numFmtId="0" fontId="0" fillId="12" borderId="11" xfId="0" applyFill="1" applyBorder="1" applyAlignment="1">
      <alignment horizontal="center" vertical="center"/>
    </xf>
    <xf numFmtId="0" fontId="0" fillId="11" borderId="11" xfId="0" applyFill="1" applyBorder="1" applyAlignment="1">
      <alignment horizontal="center" vertical="center"/>
    </xf>
    <xf numFmtId="0" fontId="0" fillId="17" borderId="11" xfId="0" applyFill="1" applyBorder="1" applyAlignment="1">
      <alignment horizontal="center" vertical="center" wrapText="1"/>
    </xf>
    <xf numFmtId="1" fontId="0" fillId="17" borderId="11" xfId="0" applyNumberFormat="1" applyFill="1" applyBorder="1" applyAlignment="1">
      <alignment horizontal="center" vertical="center"/>
    </xf>
    <xf numFmtId="171" fontId="0" fillId="12" borderId="11" xfId="0" applyNumberFormat="1" applyFill="1" applyBorder="1" applyAlignment="1">
      <alignment horizontal="center" vertical="center"/>
    </xf>
    <xf numFmtId="0" fontId="0" fillId="17" borderId="0" xfId="0" applyFill="1" applyAlignment="1">
      <alignment horizontal="center" vertical="center"/>
    </xf>
    <xf numFmtId="0" fontId="0" fillId="17" borderId="11" xfId="0" applyFill="1" applyBorder="1" applyAlignment="1">
      <alignment vertical="center"/>
    </xf>
    <xf numFmtId="172" fontId="0" fillId="17" borderId="11" xfId="0" applyNumberFormat="1" applyFill="1" applyBorder="1" applyAlignment="1">
      <alignment vertical="center"/>
    </xf>
    <xf numFmtId="0" fontId="4" fillId="0" borderId="0" xfId="0" applyFont="1" applyAlignment="1">
      <alignment horizontal="center"/>
    </xf>
    <xf numFmtId="0" fontId="0" fillId="12" borderId="11" xfId="0" applyFill="1" applyBorder="1" applyAlignment="1">
      <alignment horizontal="center" vertical="center"/>
    </xf>
    <xf numFmtId="0" fontId="0" fillId="11" borderId="11" xfId="0" applyFill="1" applyBorder="1" applyAlignment="1">
      <alignment horizontal="center" vertical="center"/>
    </xf>
    <xf numFmtId="0" fontId="5" fillId="0" borderId="11" xfId="0" applyFont="1" applyFill="1" applyBorder="1" applyAlignment="1">
      <alignment vertical="justify"/>
    </xf>
    <xf numFmtId="0" fontId="5" fillId="19" borderId="4" xfId="0" applyFont="1" applyFill="1" applyBorder="1" applyAlignment="1">
      <alignment vertical="justify"/>
    </xf>
    <xf numFmtId="0" fontId="5" fillId="18" borderId="4" xfId="0" applyFont="1" applyFill="1" applyBorder="1" applyAlignment="1">
      <alignment vertical="justify"/>
    </xf>
    <xf numFmtId="164" fontId="0" fillId="0" borderId="11" xfId="0" applyNumberFormat="1" applyBorder="1"/>
    <xf numFmtId="0" fontId="37" fillId="0" borderId="0" xfId="6"/>
    <xf numFmtId="0" fontId="0" fillId="12" borderId="11" xfId="0" applyFill="1" applyBorder="1" applyAlignment="1">
      <alignment horizontal="center" vertical="center"/>
    </xf>
    <xf numFmtId="0" fontId="0" fillId="11" borderId="11" xfId="0" applyFill="1" applyBorder="1" applyAlignment="1">
      <alignment horizontal="center" vertical="center"/>
    </xf>
    <xf numFmtId="0" fontId="0" fillId="12" borderId="11" xfId="0" applyFill="1" applyBorder="1" applyAlignment="1">
      <alignment horizontal="center" vertical="center"/>
    </xf>
    <xf numFmtId="0" fontId="4" fillId="0" borderId="0" xfId="0" applyFont="1" applyAlignment="1">
      <alignment horizont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19" borderId="4" xfId="0" applyFont="1" applyFill="1" applyBorder="1" applyAlignment="1">
      <alignment horizontal="left" vertical="center"/>
    </xf>
    <xf numFmtId="0" fontId="5" fillId="18" borderId="4" xfId="0" applyFont="1" applyFill="1" applyBorder="1" applyAlignment="1">
      <alignment horizontal="left" vertical="center"/>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18" borderId="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2" xfId="0" applyFont="1" applyBorder="1" applyAlignment="1">
      <alignment horizontal="left" vertical="center" wrapText="1"/>
    </xf>
    <xf numFmtId="0" fontId="5" fillId="8" borderId="4" xfId="0" applyFont="1" applyFill="1" applyBorder="1" applyAlignment="1">
      <alignment horizontal="left" vertical="center"/>
    </xf>
    <xf numFmtId="0" fontId="16" fillId="0" borderId="2" xfId="0" applyFont="1" applyBorder="1" applyAlignment="1">
      <alignment horizontal="left" vertical="center"/>
    </xf>
    <xf numFmtId="0" fontId="16" fillId="0" borderId="6" xfId="0" applyFont="1" applyBorder="1" applyAlignment="1">
      <alignment horizontal="left" vertical="center"/>
    </xf>
    <xf numFmtId="0" fontId="16" fillId="0" borderId="5"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11" xfId="0" applyFont="1" applyBorder="1" applyAlignment="1">
      <alignment horizontal="left" vertical="center"/>
    </xf>
    <xf numFmtId="0" fontId="5" fillId="0" borderId="11" xfId="0" applyFont="1" applyBorder="1" applyAlignment="1">
      <alignment horizontal="left" vertical="center"/>
    </xf>
    <xf numFmtId="0" fontId="5" fillId="19" borderId="11" xfId="0" applyFont="1" applyFill="1" applyBorder="1" applyAlignment="1">
      <alignment horizontal="left" vertical="center"/>
    </xf>
    <xf numFmtId="0" fontId="5" fillId="18" borderId="11" xfId="0" applyFont="1" applyFill="1" applyBorder="1" applyAlignment="1">
      <alignment horizontal="left" vertical="center"/>
    </xf>
    <xf numFmtId="0" fontId="5" fillId="0" borderId="21" xfId="0" applyFont="1" applyFill="1" applyBorder="1" applyAlignment="1">
      <alignment horizontal="left" vertical="center"/>
    </xf>
    <xf numFmtId="0" fontId="5" fillId="0" borderId="24" xfId="0" applyFont="1" applyFill="1" applyBorder="1" applyAlignment="1">
      <alignment horizontal="left" vertical="center"/>
    </xf>
    <xf numFmtId="0" fontId="26" fillId="0" borderId="11" xfId="0" applyFont="1" applyBorder="1" applyAlignment="1">
      <alignment horizontal="center" vertical="center"/>
    </xf>
    <xf numFmtId="0" fontId="5" fillId="0" borderId="2" xfId="0" applyFont="1" applyBorder="1" applyAlignment="1">
      <alignment horizontal="center" vertical="center"/>
    </xf>
    <xf numFmtId="0" fontId="16" fillId="0" borderId="2" xfId="0" applyFont="1" applyBorder="1" applyAlignment="1">
      <alignment horizontal="center" vertical="center"/>
    </xf>
    <xf numFmtId="0" fontId="0" fillId="15" borderId="11" xfId="0" applyFill="1" applyBorder="1" applyAlignment="1">
      <alignment horizontal="center" vertical="center"/>
    </xf>
    <xf numFmtId="1" fontId="0" fillId="15" borderId="11" xfId="0" applyNumberFormat="1" applyFill="1" applyBorder="1" applyAlignment="1">
      <alignment horizontal="center" vertical="center"/>
    </xf>
    <xf numFmtId="0" fontId="0" fillId="16" borderId="11" xfId="0" applyFill="1" applyBorder="1" applyAlignment="1">
      <alignment horizontal="center" vertical="center"/>
    </xf>
    <xf numFmtId="0" fontId="5" fillId="20" borderId="4" xfId="0" applyFont="1" applyFill="1" applyBorder="1" applyAlignment="1">
      <alignment horizontal="left" vertical="center"/>
    </xf>
    <xf numFmtId="0" fontId="5" fillId="20" borderId="4" xfId="0" applyFont="1" applyFill="1" applyBorder="1" applyAlignment="1">
      <alignment horizontal="left" vertical="justify"/>
    </xf>
    <xf numFmtId="0" fontId="5" fillId="20" borderId="11" xfId="0" applyFont="1" applyFill="1" applyBorder="1" applyAlignment="1">
      <alignment horizontal="left" vertical="center"/>
    </xf>
    <xf numFmtId="0" fontId="35" fillId="14" borderId="11" xfId="0" applyFont="1" applyFill="1" applyBorder="1" applyAlignment="1">
      <alignment horizontal="right"/>
    </xf>
    <xf numFmtId="0" fontId="35" fillId="14" borderId="11" xfId="0" applyFont="1" applyFill="1" applyBorder="1" applyAlignment="1">
      <alignment horizontal="center"/>
    </xf>
    <xf numFmtId="0" fontId="0" fillId="12" borderId="11" xfId="0" applyFill="1" applyBorder="1" applyAlignment="1">
      <alignment horizontal="center" vertical="center"/>
    </xf>
    <xf numFmtId="0" fontId="17" fillId="0" borderId="0" xfId="0" applyFont="1" applyAlignment="1">
      <alignment horizontal="center" vertical="center"/>
    </xf>
    <xf numFmtId="0" fontId="17" fillId="0" borderId="11" xfId="0" applyFont="1" applyBorder="1" applyAlignment="1">
      <alignment horizontal="center" vertical="center"/>
    </xf>
    <xf numFmtId="164" fontId="17" fillId="0" borderId="11" xfId="0" applyNumberFormat="1" applyFont="1" applyBorder="1" applyAlignment="1">
      <alignment horizontal="center" vertical="center"/>
    </xf>
    <xf numFmtId="43" fontId="17" fillId="0" borderId="11" xfId="2" applyFont="1" applyBorder="1" applyAlignment="1">
      <alignment horizontal="center" vertical="center"/>
    </xf>
    <xf numFmtId="1" fontId="17" fillId="0" borderId="11" xfId="0" applyNumberFormat="1" applyFont="1" applyBorder="1" applyAlignment="1">
      <alignment horizontal="center" vertical="center"/>
    </xf>
    <xf numFmtId="0" fontId="0" fillId="11" borderId="11" xfId="0" applyFill="1" applyBorder="1" applyAlignment="1">
      <alignment horizontal="center" vertical="center"/>
    </xf>
    <xf numFmtId="0" fontId="0" fillId="12" borderId="11" xfId="0" applyFill="1" applyBorder="1" applyAlignment="1">
      <alignment horizontal="center" vertical="center"/>
    </xf>
    <xf numFmtId="0" fontId="0" fillId="0" borderId="11" xfId="0" applyBorder="1" applyAlignment="1">
      <alignment vertical="center"/>
    </xf>
    <xf numFmtId="0" fontId="14" fillId="0" borderId="11" xfId="0" applyFont="1" applyBorder="1"/>
    <xf numFmtId="0" fontId="0" fillId="0" borderId="11" xfId="0" applyBorder="1" applyAlignment="1"/>
    <xf numFmtId="0" fontId="13" fillId="0" borderId="11" xfId="0" applyFont="1" applyBorder="1"/>
    <xf numFmtId="0" fontId="37" fillId="0" borderId="1" xfId="6" applyBorder="1" applyAlignment="1">
      <alignment vertical="justify"/>
    </xf>
    <xf numFmtId="0" fontId="37" fillId="0" borderId="11" xfId="6" applyBorder="1" applyAlignment="1">
      <alignment vertical="justify"/>
    </xf>
    <xf numFmtId="1" fontId="13" fillId="0" borderId="11" xfId="0" applyNumberFormat="1" applyFont="1" applyBorder="1"/>
    <xf numFmtId="0" fontId="0" fillId="21" borderId="11" xfId="0" applyFill="1" applyBorder="1"/>
    <xf numFmtId="0" fontId="0" fillId="21" borderId="11" xfId="0" applyFill="1" applyBorder="1" applyAlignment="1">
      <alignment horizontal="center" vertical="center"/>
    </xf>
    <xf numFmtId="0" fontId="16" fillId="0" borderId="1" xfId="0" applyFont="1" applyBorder="1" applyAlignment="1">
      <alignment horizontal="center" vertical="center" wrapText="1"/>
    </xf>
    <xf numFmtId="164" fontId="16" fillId="0" borderId="1" xfId="0" applyNumberFormat="1" applyFont="1" applyBorder="1" applyAlignment="1">
      <alignment horizontal="center" vertical="center" wrapText="1"/>
    </xf>
    <xf numFmtId="0" fontId="16" fillId="0" borderId="12"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0" xfId="0" applyFont="1" applyAlignment="1">
      <alignment horizontal="center" vertical="center" wrapText="1"/>
    </xf>
    <xf numFmtId="0" fontId="17" fillId="0" borderId="1" xfId="0" applyFont="1" applyBorder="1" applyAlignment="1">
      <alignment horizontal="center" vertical="center"/>
    </xf>
    <xf numFmtId="164" fontId="17" fillId="0" borderId="1" xfId="0" applyNumberFormat="1" applyFont="1" applyBorder="1" applyAlignment="1">
      <alignment horizontal="center" vertical="center"/>
    </xf>
    <xf numFmtId="166" fontId="17" fillId="0" borderId="1" xfId="2" applyNumberFormat="1" applyFont="1" applyBorder="1" applyAlignment="1">
      <alignment horizontal="center" vertical="center"/>
    </xf>
    <xf numFmtId="43" fontId="17" fillId="0" borderId="1" xfId="2" applyFont="1" applyBorder="1" applyAlignment="1">
      <alignment horizontal="center" vertical="center"/>
    </xf>
    <xf numFmtId="0" fontId="17" fillId="0" borderId="12" xfId="0" applyFont="1" applyBorder="1" applyAlignment="1">
      <alignment horizontal="center" vertical="center"/>
    </xf>
    <xf numFmtId="1" fontId="17" fillId="0" borderId="12" xfId="0" applyNumberFormat="1" applyFont="1" applyBorder="1" applyAlignment="1">
      <alignment horizontal="center" vertical="center"/>
    </xf>
    <xf numFmtId="43" fontId="17" fillId="0" borderId="30" xfId="2" applyFont="1" applyBorder="1" applyAlignment="1">
      <alignment horizontal="center" vertical="center"/>
    </xf>
    <xf numFmtId="0" fontId="17" fillId="0" borderId="31" xfId="0" applyFont="1" applyBorder="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0" fillId="22" borderId="11" xfId="0" applyFill="1" applyBorder="1" applyAlignment="1">
      <alignment horizontal="center" vertical="center" wrapText="1"/>
    </xf>
    <xf numFmtId="0" fontId="5" fillId="23" borderId="4" xfId="0" applyFont="1" applyFill="1" applyBorder="1" applyAlignment="1">
      <alignment horizontal="left" vertical="center"/>
    </xf>
    <xf numFmtId="0" fontId="5" fillId="22" borderId="4" xfId="0" applyFont="1" applyFill="1" applyBorder="1" applyAlignment="1">
      <alignment horizontal="left" vertical="center"/>
    </xf>
    <xf numFmtId="0" fontId="0" fillId="24" borderId="11" xfId="0" applyFill="1" applyBorder="1" applyAlignment="1">
      <alignment horizontal="center" vertical="center" wrapText="1"/>
    </xf>
    <xf numFmtId="0" fontId="13" fillId="22" borderId="11" xfId="0" applyFont="1" applyFill="1" applyBorder="1" applyAlignment="1">
      <alignment horizontal="center" vertical="center" wrapText="1"/>
    </xf>
    <xf numFmtId="0" fontId="13" fillId="22" borderId="11" xfId="0" applyFont="1" applyFill="1" applyBorder="1" applyAlignment="1">
      <alignment horizontal="center" vertical="center"/>
    </xf>
    <xf numFmtId="0" fontId="0" fillId="24" borderId="11" xfId="0" applyFill="1" applyBorder="1" applyAlignment="1">
      <alignment horizontal="center" vertical="center"/>
    </xf>
    <xf numFmtId="168" fontId="0" fillId="24" borderId="11" xfId="0" applyNumberFormat="1" applyFill="1" applyBorder="1" applyAlignment="1">
      <alignment horizontal="center" vertical="center"/>
    </xf>
    <xf numFmtId="0" fontId="0" fillId="0" borderId="32" xfId="0" applyBorder="1"/>
    <xf numFmtId="0" fontId="0" fillId="0" borderId="32" xfId="0" applyBorder="1" applyAlignment="1">
      <alignment horizontal="center" vertical="center"/>
    </xf>
    <xf numFmtId="0" fontId="0" fillId="0" borderId="33" xfId="0" applyBorder="1" applyAlignment="1">
      <alignment horizontal="center" vertical="center"/>
    </xf>
    <xf numFmtId="0" fontId="0" fillId="6" borderId="36" xfId="0" applyFill="1" applyBorder="1" applyAlignment="1">
      <alignment horizontal="center" vertical="center"/>
    </xf>
    <xf numFmtId="0" fontId="0" fillId="6" borderId="37" xfId="0" applyFill="1" applyBorder="1" applyAlignment="1">
      <alignment horizontal="center" vertical="center"/>
    </xf>
    <xf numFmtId="0" fontId="0" fillId="6" borderId="38" xfId="0" applyFill="1" applyBorder="1" applyAlignment="1">
      <alignment horizontal="center" vertical="center"/>
    </xf>
    <xf numFmtId="0" fontId="0" fillId="6" borderId="39" xfId="0" applyFill="1" applyBorder="1" applyAlignment="1">
      <alignment horizontal="center" vertical="center"/>
    </xf>
    <xf numFmtId="0" fontId="0" fillId="0" borderId="3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7" xfId="0" applyBorder="1" applyAlignment="1">
      <alignment horizontal="center" vertical="center"/>
    </xf>
    <xf numFmtId="0" fontId="0" fillId="28" borderId="38" xfId="0" applyFill="1" applyBorder="1" applyAlignment="1">
      <alignment horizontal="center" vertical="center"/>
    </xf>
    <xf numFmtId="0" fontId="0" fillId="28" borderId="39" xfId="0" applyFill="1" applyBorder="1" applyAlignment="1">
      <alignment horizontal="center" vertical="center"/>
    </xf>
    <xf numFmtId="0" fontId="0" fillId="29" borderId="38" xfId="0" applyFill="1" applyBorder="1" applyAlignment="1">
      <alignment horizontal="center" vertical="center"/>
    </xf>
    <xf numFmtId="0" fontId="0" fillId="29" borderId="39" xfId="0" applyFill="1" applyBorder="1" applyAlignment="1">
      <alignment horizontal="center" vertical="center"/>
    </xf>
    <xf numFmtId="0" fontId="0" fillId="30" borderId="38" xfId="0" applyFill="1" applyBorder="1" applyAlignment="1">
      <alignment horizontal="center" vertical="center"/>
    </xf>
    <xf numFmtId="0" fontId="0" fillId="30" borderId="39" xfId="0" applyFill="1" applyBorder="1" applyAlignment="1">
      <alignment horizontal="center" vertical="center"/>
    </xf>
    <xf numFmtId="0" fontId="0" fillId="8" borderId="38" xfId="0" applyFill="1" applyBorder="1" applyAlignment="1">
      <alignment horizontal="center" vertical="center"/>
    </xf>
    <xf numFmtId="0" fontId="0" fillId="8" borderId="39" xfId="0" applyFill="1" applyBorder="1" applyAlignment="1">
      <alignment horizontal="center" vertical="center"/>
    </xf>
    <xf numFmtId="0" fontId="0" fillId="31" borderId="38" xfId="0" applyFill="1" applyBorder="1" applyAlignment="1">
      <alignment horizontal="center" vertical="center"/>
    </xf>
    <xf numFmtId="0" fontId="0" fillId="31" borderId="39" xfId="0" applyFill="1" applyBorder="1" applyAlignment="1">
      <alignment horizontal="center" vertical="center"/>
    </xf>
    <xf numFmtId="0" fontId="0" fillId="12" borderId="38" xfId="0" applyFill="1" applyBorder="1" applyAlignment="1">
      <alignment horizontal="center" vertical="center"/>
    </xf>
    <xf numFmtId="0" fontId="0" fillId="12" borderId="39" xfId="0" applyFill="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7" xfId="0"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48" xfId="0" applyBorder="1" applyAlignment="1">
      <alignment horizontal="center" vertical="center"/>
    </xf>
    <xf numFmtId="0" fontId="0" fillId="6" borderId="43" xfId="0" applyFill="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4" fillId="0" borderId="0" xfId="0" applyFont="1" applyAlignment="1">
      <alignment horizontal="center"/>
    </xf>
    <xf numFmtId="0" fontId="37" fillId="0" borderId="11" xfId="6" applyBorder="1"/>
    <xf numFmtId="174" fontId="0" fillId="0" borderId="0" xfId="0" applyNumberFormat="1" applyAlignment="1">
      <alignment horizontal="center" vertical="center"/>
    </xf>
    <xf numFmtId="0" fontId="5" fillId="26" borderId="11" xfId="0" applyFont="1" applyFill="1" applyBorder="1" applyAlignment="1">
      <alignment horizontal="left" vertical="center"/>
    </xf>
    <xf numFmtId="0" fontId="5" fillId="11" borderId="11" xfId="0" applyFont="1" applyFill="1" applyBorder="1" applyAlignment="1">
      <alignment horizontal="left" vertical="center"/>
    </xf>
    <xf numFmtId="1" fontId="17" fillId="0" borderId="0" xfId="0" applyNumberFormat="1" applyFont="1" applyAlignment="1">
      <alignment vertical="justify"/>
    </xf>
    <xf numFmtId="0" fontId="0" fillId="0" borderId="0" xfId="0" applyBorder="1" applyAlignment="1"/>
    <xf numFmtId="0" fontId="0" fillId="0" borderId="0" xfId="0" applyAlignment="1"/>
    <xf numFmtId="0" fontId="0" fillId="0" borderId="0" xfId="0" applyAlignment="1">
      <alignment horizontal="left" wrapText="1"/>
    </xf>
    <xf numFmtId="0" fontId="41" fillId="0" borderId="51" xfId="0" applyFont="1" applyBorder="1" applyAlignment="1">
      <alignment horizontal="center" vertical="center" textRotation="255" wrapText="1"/>
    </xf>
    <xf numFmtId="0" fontId="41" fillId="0" borderId="51" xfId="0" applyFont="1" applyBorder="1" applyAlignment="1">
      <alignment horizontal="center" vertical="top" textRotation="255"/>
    </xf>
    <xf numFmtId="0" fontId="38" fillId="9" borderId="11" xfId="0" applyFont="1" applyFill="1" applyBorder="1" applyAlignment="1">
      <alignment horizontal="center" vertical="top" textRotation="255"/>
    </xf>
    <xf numFmtId="0" fontId="41" fillId="33" borderId="51" xfId="0" applyFont="1" applyFill="1" applyBorder="1" applyAlignment="1">
      <alignment horizontal="center" vertical="top" textRotation="255"/>
    </xf>
    <xf numFmtId="0" fontId="0" fillId="0" borderId="51" xfId="0" applyFont="1" applyBorder="1" applyAlignment="1">
      <alignment vertical="center" textRotation="255"/>
    </xf>
    <xf numFmtId="0" fontId="37" fillId="0" borderId="52" xfId="6" applyFill="1" applyBorder="1" applyAlignment="1" applyProtection="1">
      <alignment vertical="top" wrapText="1"/>
    </xf>
    <xf numFmtId="0" fontId="0" fillId="34" borderId="51" xfId="0" applyFill="1" applyBorder="1"/>
    <xf numFmtId="0" fontId="0" fillId="33" borderId="51" xfId="0" applyFill="1" applyBorder="1"/>
    <xf numFmtId="0" fontId="0" fillId="35" borderId="51" xfId="0" applyFill="1" applyBorder="1" applyAlignment="1"/>
    <xf numFmtId="0" fontId="0" fillId="0" borderId="11" xfId="0" applyBorder="1" applyAlignment="1">
      <alignment horizontal="left" wrapText="1"/>
    </xf>
    <xf numFmtId="49" fontId="0" fillId="0" borderId="11" xfId="0" applyNumberFormat="1" applyBorder="1" applyAlignment="1">
      <alignment horizontal="left" wrapText="1"/>
    </xf>
    <xf numFmtId="0" fontId="37" fillId="0" borderId="53" xfId="6" applyFill="1" applyBorder="1" applyAlignment="1" applyProtection="1">
      <alignment vertical="top" wrapText="1"/>
    </xf>
    <xf numFmtId="0" fontId="37" fillId="0" borderId="51" xfId="6" applyFill="1" applyBorder="1" applyAlignment="1" applyProtection="1">
      <alignment vertical="top" wrapText="1"/>
    </xf>
    <xf numFmtId="0" fontId="35" fillId="14" borderId="0" xfId="0" applyFont="1" applyFill="1" applyBorder="1" applyAlignment="1">
      <alignment horizontal="center"/>
    </xf>
    <xf numFmtId="0" fontId="0" fillId="0" borderId="0" xfId="0" applyAlignment="1">
      <alignment horizontal="center"/>
    </xf>
    <xf numFmtId="0" fontId="4" fillId="0" borderId="0" xfId="0" applyFont="1" applyAlignment="1">
      <alignment horizontal="center"/>
    </xf>
    <xf numFmtId="0" fontId="5" fillId="0" borderId="11" xfId="0" applyFont="1" applyBorder="1" applyAlignment="1">
      <alignment horizontal="center"/>
    </xf>
    <xf numFmtId="1" fontId="6" fillId="0" borderId="11" xfId="0" applyNumberFormat="1" applyFont="1" applyBorder="1" applyAlignment="1">
      <alignment horizontal="center"/>
    </xf>
    <xf numFmtId="0" fontId="3" fillId="0" borderId="11" xfId="0" applyFont="1" applyBorder="1" applyAlignment="1">
      <alignment horizontal="center"/>
    </xf>
    <xf numFmtId="0" fontId="3" fillId="0" borderId="0" xfId="0" applyFont="1" applyBorder="1"/>
    <xf numFmtId="0" fontId="3" fillId="0" borderId="0" xfId="0" applyFont="1" applyFill="1" applyBorder="1" applyAlignment="1">
      <alignment wrapText="1"/>
    </xf>
    <xf numFmtId="0" fontId="5" fillId="0" borderId="11" xfId="0" applyFont="1" applyBorder="1" applyAlignment="1"/>
    <xf numFmtId="1" fontId="5" fillId="0" borderId="11" xfId="0" applyNumberFormat="1" applyFont="1" applyBorder="1" applyAlignment="1">
      <alignment horizontal="center"/>
    </xf>
    <xf numFmtId="1" fontId="3" fillId="0" borderId="11" xfId="0" applyNumberFormat="1" applyFont="1" applyBorder="1" applyAlignment="1">
      <alignment horizontal="center"/>
    </xf>
    <xf numFmtId="165" fontId="5" fillId="0" borderId="0" xfId="1" applyNumberFormat="1" applyFont="1" applyBorder="1"/>
    <xf numFmtId="165" fontId="0" fillId="0" borderId="0" xfId="1" applyNumberFormat="1" applyFont="1" applyBorder="1"/>
    <xf numFmtId="9" fontId="5" fillId="8" borderId="11" xfId="1" applyFont="1" applyFill="1" applyBorder="1" applyAlignment="1">
      <alignment horizontal="center"/>
    </xf>
    <xf numFmtId="9" fontId="3" fillId="3" borderId="11" xfId="1" applyFont="1" applyFill="1" applyBorder="1" applyAlignment="1">
      <alignment horizontal="center"/>
    </xf>
    <xf numFmtId="9" fontId="3" fillId="25" borderId="11" xfId="1" applyFont="1" applyFill="1" applyBorder="1" applyAlignment="1">
      <alignment horizontal="center"/>
    </xf>
    <xf numFmtId="0" fontId="0" fillId="11" borderId="11" xfId="0" applyFill="1" applyBorder="1" applyAlignment="1">
      <alignment horizontal="center"/>
    </xf>
    <xf numFmtId="0" fontId="17" fillId="20" borderId="11" xfId="0" applyFont="1" applyFill="1" applyBorder="1" applyAlignment="1">
      <alignment horizontal="center" vertical="center" wrapText="1"/>
    </xf>
    <xf numFmtId="167" fontId="17" fillId="0" borderId="0" xfId="2" applyNumberFormat="1" applyFont="1" applyAlignment="1">
      <alignment vertical="justify"/>
    </xf>
    <xf numFmtId="2" fontId="17" fillId="0" borderId="11" xfId="0" applyNumberFormat="1" applyFont="1" applyBorder="1" applyAlignment="1">
      <alignment horizontal="right" vertical="center"/>
    </xf>
    <xf numFmtId="167" fontId="17" fillId="0" borderId="0" xfId="0" applyNumberFormat="1" applyFont="1" applyAlignment="1">
      <alignment vertical="justify"/>
    </xf>
    <xf numFmtId="0" fontId="4" fillId="0" borderId="0" xfId="0" applyFont="1" applyAlignment="1">
      <alignment horizontal="center"/>
    </xf>
    <xf numFmtId="0" fontId="0" fillId="13" borderId="11" xfId="0" applyFill="1" applyBorder="1" applyAlignment="1">
      <alignment horizontal="center" vertical="center"/>
    </xf>
    <xf numFmtId="0" fontId="0" fillId="12" borderId="11" xfId="0" applyFill="1" applyBorder="1" applyAlignment="1">
      <alignment horizontal="center" vertical="center"/>
    </xf>
    <xf numFmtId="0" fontId="0" fillId="11" borderId="11" xfId="0" applyFill="1" applyBorder="1" applyAlignment="1">
      <alignment horizontal="center" vertical="center"/>
    </xf>
    <xf numFmtId="0" fontId="0" fillId="0" borderId="0" xfId="0" applyAlignment="1">
      <alignment horizontal="center" vertical="center"/>
    </xf>
    <xf numFmtId="165" fontId="5" fillId="6" borderId="21" xfId="1" applyNumberFormat="1" applyFont="1" applyFill="1" applyBorder="1"/>
    <xf numFmtId="0" fontId="0" fillId="11" borderId="11" xfId="0" applyFill="1" applyBorder="1" applyAlignment="1">
      <alignment horizontal="center" vertical="center"/>
    </xf>
    <xf numFmtId="0" fontId="0" fillId="12" borderId="11" xfId="0" applyFill="1" applyBorder="1" applyAlignment="1">
      <alignment horizontal="center" vertical="center"/>
    </xf>
    <xf numFmtId="0" fontId="0" fillId="20" borderId="11" xfId="0" applyFill="1" applyBorder="1" applyAlignment="1">
      <alignment vertical="center"/>
    </xf>
    <xf numFmtId="0" fontId="0" fillId="36" borderId="11" xfId="0" applyFill="1" applyBorder="1" applyAlignment="1">
      <alignment horizontal="center" vertical="center"/>
    </xf>
    <xf numFmtId="174" fontId="0" fillId="36" borderId="11" xfId="0" applyNumberFormat="1" applyFill="1" applyBorder="1" applyAlignment="1">
      <alignment horizontal="center" vertical="center"/>
    </xf>
    <xf numFmtId="0" fontId="4" fillId="0" borderId="0" xfId="0" applyFont="1" applyAlignment="1">
      <alignment horizontal="center"/>
    </xf>
    <xf numFmtId="0" fontId="0" fillId="0" borderId="0" xfId="0" applyAlignment="1">
      <alignment wrapText="1"/>
    </xf>
    <xf numFmtId="0" fontId="24" fillId="0" borderId="26" xfId="0" applyFont="1" applyBorder="1" applyAlignment="1">
      <alignment vertical="center" wrapText="1"/>
    </xf>
    <xf numFmtId="0" fontId="24" fillId="0" borderId="27" xfId="0" applyFont="1" applyBorder="1" applyAlignment="1">
      <alignment vertical="center" wrapText="1"/>
    </xf>
    <xf numFmtId="0" fontId="42" fillId="0" borderId="22" xfId="0" applyFont="1" applyBorder="1" applyAlignment="1">
      <alignment vertical="center" wrapText="1"/>
    </xf>
    <xf numFmtId="0" fontId="4" fillId="0" borderId="0" xfId="0" applyFont="1" applyAlignment="1">
      <alignment horizontal="center"/>
    </xf>
    <xf numFmtId="0" fontId="0" fillId="0" borderId="0" xfId="0" applyAlignment="1">
      <alignment horizontal="center" vertical="center"/>
    </xf>
    <xf numFmtId="0" fontId="32" fillId="0" borderId="26" xfId="0" applyFont="1" applyBorder="1" applyAlignment="1">
      <alignment horizontal="center" wrapText="1"/>
    </xf>
    <xf numFmtId="0" fontId="32" fillId="0" borderId="22" xfId="0" applyFont="1" applyBorder="1" applyAlignment="1">
      <alignment horizontal="center" wrapText="1"/>
    </xf>
    <xf numFmtId="1" fontId="0" fillId="0" borderId="27" xfId="0" applyNumberFormat="1" applyBorder="1" applyAlignment="1">
      <alignment horizontal="center" vertical="center"/>
    </xf>
    <xf numFmtId="0" fontId="17" fillId="8" borderId="11" xfId="0" applyFont="1" applyFill="1" applyBorder="1" applyAlignment="1">
      <alignment horizontal="right" vertical="center"/>
    </xf>
    <xf numFmtId="0" fontId="24" fillId="8" borderId="11" xfId="0" applyFont="1" applyFill="1" applyBorder="1" applyAlignment="1">
      <alignment horizontal="center" vertical="center"/>
    </xf>
    <xf numFmtId="0" fontId="43" fillId="31" borderId="11" xfId="0" applyFont="1" applyFill="1" applyBorder="1" applyAlignment="1">
      <alignment horizontal="right" vertical="center"/>
    </xf>
    <xf numFmtId="0" fontId="44" fillId="31" borderId="11" xfId="0" applyFont="1" applyFill="1" applyBorder="1" applyAlignment="1">
      <alignment horizontal="center" vertical="center"/>
    </xf>
    <xf numFmtId="0" fontId="0" fillId="0" borderId="11" xfId="0" applyBorder="1" applyAlignment="1">
      <alignment horizontal="center" vertical="center" wrapText="1"/>
    </xf>
    <xf numFmtId="0" fontId="0" fillId="0" borderId="11" xfId="0" applyFill="1" applyBorder="1" applyAlignment="1">
      <alignment horizontal="center" vertical="center" wrapText="1"/>
    </xf>
    <xf numFmtId="2" fontId="0" fillId="0" borderId="11" xfId="0" applyNumberFormat="1" applyBorder="1" applyAlignment="1">
      <alignment horizontal="center" vertical="center" wrapText="1"/>
    </xf>
    <xf numFmtId="0" fontId="0" fillId="11" borderId="11" xfId="0" applyFill="1" applyBorder="1" applyAlignment="1">
      <alignment horizontal="center" vertical="center"/>
    </xf>
    <xf numFmtId="0" fontId="0" fillId="12" borderId="11" xfId="0" applyFill="1" applyBorder="1" applyAlignment="1">
      <alignment horizontal="center" vertical="center"/>
    </xf>
    <xf numFmtId="0" fontId="0" fillId="27" borderId="16" xfId="0" applyFill="1" applyBorder="1" applyAlignment="1">
      <alignment horizontal="right" vertical="center" wrapText="1"/>
    </xf>
    <xf numFmtId="3" fontId="0" fillId="27" borderId="9" xfId="0" applyNumberFormat="1" applyFill="1" applyBorder="1" applyAlignment="1">
      <alignment horizontal="right" vertical="center" wrapText="1"/>
    </xf>
    <xf numFmtId="0" fontId="0" fillId="27" borderId="54" xfId="0" applyFill="1" applyBorder="1" applyAlignment="1">
      <alignment horizontal="right" vertical="center" wrapText="1"/>
    </xf>
    <xf numFmtId="3" fontId="0" fillId="27" borderId="55" xfId="0" applyNumberFormat="1" applyFill="1" applyBorder="1" applyAlignment="1">
      <alignment horizontal="right" vertical="center" wrapText="1"/>
    </xf>
    <xf numFmtId="4" fontId="0" fillId="27" borderId="54" xfId="0" applyNumberFormat="1" applyFill="1" applyBorder="1" applyAlignment="1">
      <alignment horizontal="right" vertical="center" wrapText="1"/>
    </xf>
    <xf numFmtId="0" fontId="0" fillId="27" borderId="55" xfId="0" applyFill="1" applyBorder="1" applyAlignment="1">
      <alignment horizontal="right" vertical="center" wrapText="1"/>
    </xf>
    <xf numFmtId="0" fontId="17" fillId="0" borderId="1" xfId="0" applyFont="1" applyFill="1" applyBorder="1" applyAlignment="1">
      <alignment horizontal="center" vertical="center"/>
    </xf>
    <xf numFmtId="0" fontId="0" fillId="0" borderId="0" xfId="0" applyAlignment="1">
      <alignment horizontal="center" vertical="center"/>
    </xf>
    <xf numFmtId="0" fontId="0" fillId="13" borderId="11" xfId="0" applyFill="1" applyBorder="1" applyAlignment="1">
      <alignment horizontal="center" vertical="center"/>
    </xf>
    <xf numFmtId="0" fontId="0" fillId="37" borderId="11" xfId="0" applyFill="1" applyBorder="1" applyAlignment="1">
      <alignment horizontal="center" vertical="center"/>
    </xf>
    <xf numFmtId="0" fontId="4" fillId="0" borderId="0" xfId="0" applyFont="1" applyAlignment="1">
      <alignment horizontal="center"/>
    </xf>
    <xf numFmtId="0" fontId="0" fillId="12" borderId="11" xfId="0" applyFill="1" applyBorder="1" applyAlignment="1">
      <alignment horizontal="center" vertical="center"/>
    </xf>
    <xf numFmtId="0" fontId="0" fillId="11" borderId="11" xfId="0" applyFill="1" applyBorder="1" applyAlignment="1">
      <alignment horizontal="center" vertical="center"/>
    </xf>
    <xf numFmtId="0" fontId="5" fillId="0" borderId="41" xfId="0" applyFont="1" applyBorder="1" applyAlignment="1"/>
    <xf numFmtId="168" fontId="17" fillId="0" borderId="1" xfId="2" applyNumberFormat="1" applyFont="1" applyBorder="1" applyAlignment="1">
      <alignment horizontal="center" vertical="center"/>
    </xf>
    <xf numFmtId="173" fontId="17" fillId="0" borderId="1" xfId="2" applyNumberFormat="1" applyFont="1" applyBorder="1" applyAlignment="1">
      <alignment horizontal="center" vertical="center"/>
    </xf>
    <xf numFmtId="0" fontId="4" fillId="0" borderId="0" xfId="0" applyFont="1" applyAlignment="1">
      <alignment horizontal="center"/>
    </xf>
    <xf numFmtId="0" fontId="0" fillId="12" borderId="11" xfId="0" applyFill="1" applyBorder="1" applyAlignment="1">
      <alignment horizontal="center" vertical="center"/>
    </xf>
    <xf numFmtId="0" fontId="0" fillId="11" borderId="11" xfId="0" applyFill="1" applyBorder="1" applyAlignment="1">
      <alignment horizontal="center" vertical="center"/>
    </xf>
    <xf numFmtId="0" fontId="0" fillId="0" borderId="27" xfId="0" applyBorder="1" applyAlignment="1">
      <alignment horizontal="center" vertical="center"/>
    </xf>
    <xf numFmtId="0" fontId="37" fillId="6" borderId="1" xfId="6" applyFill="1" applyBorder="1" applyAlignment="1">
      <alignment vertical="justify"/>
    </xf>
    <xf numFmtId="0" fontId="17" fillId="6" borderId="1" xfId="0" applyFont="1" applyFill="1" applyBorder="1" applyAlignment="1">
      <alignment horizontal="center" vertical="center"/>
    </xf>
    <xf numFmtId="164" fontId="17" fillId="6" borderId="1" xfId="0" applyNumberFormat="1" applyFont="1" applyFill="1" applyBorder="1" applyAlignment="1">
      <alignment horizontal="center" vertical="center"/>
    </xf>
    <xf numFmtId="166" fontId="17" fillId="6" borderId="1" xfId="2" applyNumberFormat="1" applyFont="1" applyFill="1" applyBorder="1" applyAlignment="1">
      <alignment horizontal="center" vertical="top"/>
    </xf>
    <xf numFmtId="168" fontId="17" fillId="6" borderId="1" xfId="2" applyNumberFormat="1" applyFont="1" applyFill="1" applyBorder="1" applyAlignment="1">
      <alignment horizontal="center" vertical="center"/>
    </xf>
    <xf numFmtId="43" fontId="17" fillId="6" borderId="1" xfId="2" applyFont="1" applyFill="1" applyBorder="1" applyAlignment="1">
      <alignment horizontal="center" vertical="center"/>
    </xf>
    <xf numFmtId="0" fontId="17" fillId="6" borderId="12" xfId="0" applyFont="1" applyFill="1" applyBorder="1" applyAlignment="1">
      <alignment horizontal="center" vertical="center"/>
    </xf>
    <xf numFmtId="15" fontId="17" fillId="6" borderId="12" xfId="0" applyNumberFormat="1" applyFont="1" applyFill="1" applyBorder="1" applyAlignment="1">
      <alignment horizontal="center" vertical="center"/>
    </xf>
    <xf numFmtId="43" fontId="17" fillId="6" borderId="11" xfId="2" applyFont="1" applyFill="1" applyBorder="1" applyAlignment="1">
      <alignment horizontal="center" vertical="center"/>
    </xf>
    <xf numFmtId="0" fontId="17" fillId="6" borderId="0" xfId="0" applyFont="1" applyFill="1" applyAlignment="1">
      <alignment horizontal="center" vertical="center"/>
    </xf>
    <xf numFmtId="0" fontId="17" fillId="6" borderId="11" xfId="0" applyFont="1" applyFill="1" applyBorder="1" applyAlignment="1">
      <alignment horizontal="center" vertical="center"/>
    </xf>
    <xf numFmtId="166" fontId="17" fillId="6" borderId="1" xfId="2" applyNumberFormat="1" applyFont="1" applyFill="1" applyBorder="1" applyAlignment="1">
      <alignment horizontal="center" vertical="center"/>
    </xf>
    <xf numFmtId="173" fontId="17" fillId="6" borderId="1" xfId="2" applyNumberFormat="1" applyFont="1" applyFill="1" applyBorder="1" applyAlignment="1">
      <alignment horizontal="center" vertical="center"/>
    </xf>
    <xf numFmtId="1" fontId="17" fillId="6" borderId="12" xfId="0" applyNumberFormat="1" applyFont="1" applyFill="1" applyBorder="1" applyAlignment="1">
      <alignment horizontal="center" vertical="center"/>
    </xf>
    <xf numFmtId="0" fontId="37" fillId="6" borderId="11" xfId="6" applyFill="1" applyBorder="1"/>
    <xf numFmtId="0" fontId="17" fillId="6" borderId="0" xfId="0" applyFont="1" applyFill="1" applyAlignment="1">
      <alignment vertical="justify"/>
    </xf>
    <xf numFmtId="0" fontId="17" fillId="25" borderId="0" xfId="0" applyFont="1" applyFill="1" applyAlignment="1">
      <alignment vertical="justify"/>
    </xf>
    <xf numFmtId="0" fontId="17" fillId="8" borderId="0" xfId="0" applyFont="1" applyFill="1" applyAlignment="1">
      <alignment vertical="justify"/>
    </xf>
    <xf numFmtId="0" fontId="17" fillId="10" borderId="0" xfId="0" applyFont="1" applyFill="1" applyAlignment="1">
      <alignment vertical="justify"/>
    </xf>
    <xf numFmtId="0" fontId="17" fillId="32" borderId="0" xfId="0" applyFont="1" applyFill="1" applyAlignment="1">
      <alignment vertical="justify"/>
    </xf>
    <xf numFmtId="0" fontId="17" fillId="38" borderId="0" xfId="0" applyFont="1" applyFill="1" applyAlignment="1">
      <alignment vertical="justify"/>
    </xf>
    <xf numFmtId="0" fontId="17" fillId="39" borderId="0" xfId="0" applyFont="1" applyFill="1" applyAlignment="1">
      <alignment vertical="justify"/>
    </xf>
    <xf numFmtId="0" fontId="17" fillId="31" borderId="0" xfId="0" applyFont="1" applyFill="1" applyAlignment="1">
      <alignment vertical="justify"/>
    </xf>
    <xf numFmtId="0" fontId="17" fillId="29" borderId="0" xfId="0" applyFont="1" applyFill="1" applyAlignment="1">
      <alignment vertical="justify"/>
    </xf>
    <xf numFmtId="0" fontId="47" fillId="29" borderId="1" xfId="6" applyFont="1" applyFill="1" applyBorder="1" applyAlignment="1">
      <alignment vertical="justify"/>
    </xf>
    <xf numFmtId="0" fontId="43" fillId="29" borderId="1" xfId="0" applyFont="1" applyFill="1" applyBorder="1" applyAlignment="1">
      <alignment horizontal="center" vertical="center"/>
    </xf>
    <xf numFmtId="164" fontId="43" fillId="29" borderId="1" xfId="0" applyNumberFormat="1" applyFont="1" applyFill="1" applyBorder="1" applyAlignment="1">
      <alignment horizontal="center" vertical="center"/>
    </xf>
    <xf numFmtId="166" fontId="43" fillId="29" borderId="1" xfId="2" applyNumberFormat="1" applyFont="1" applyFill="1" applyBorder="1" applyAlignment="1">
      <alignment horizontal="center" vertical="center"/>
    </xf>
    <xf numFmtId="168" fontId="43" fillId="29" borderId="1" xfId="2" applyNumberFormat="1" applyFont="1" applyFill="1" applyBorder="1" applyAlignment="1">
      <alignment horizontal="center" vertical="center"/>
    </xf>
    <xf numFmtId="43" fontId="43" fillId="29" borderId="1" xfId="2" applyFont="1" applyFill="1" applyBorder="1" applyAlignment="1">
      <alignment horizontal="center" vertical="center"/>
    </xf>
    <xf numFmtId="0" fontId="43" fillId="29" borderId="12" xfId="0" applyFont="1" applyFill="1" applyBorder="1" applyAlignment="1">
      <alignment horizontal="center" vertical="center"/>
    </xf>
    <xf numFmtId="1" fontId="43" fillId="29" borderId="12" xfId="0" applyNumberFormat="1" applyFont="1" applyFill="1" applyBorder="1" applyAlignment="1">
      <alignment horizontal="center" vertical="center"/>
    </xf>
    <xf numFmtId="43" fontId="43" fillId="29" borderId="11" xfId="2" applyFont="1" applyFill="1" applyBorder="1" applyAlignment="1">
      <alignment horizontal="center" vertical="center"/>
    </xf>
    <xf numFmtId="1" fontId="43" fillId="29" borderId="11" xfId="2" applyNumberFormat="1" applyFont="1" applyFill="1" applyBorder="1" applyAlignment="1">
      <alignment horizontal="center" vertical="center"/>
    </xf>
    <xf numFmtId="0" fontId="43" fillId="29" borderId="0" xfId="0" applyFont="1" applyFill="1" applyAlignment="1">
      <alignment horizontal="center" vertical="center"/>
    </xf>
    <xf numFmtId="0" fontId="43" fillId="29" borderId="11" xfId="0" applyFont="1" applyFill="1" applyBorder="1" applyAlignment="1">
      <alignment horizontal="center" vertical="center"/>
    </xf>
    <xf numFmtId="0" fontId="47" fillId="29" borderId="11" xfId="6" applyFont="1" applyFill="1" applyBorder="1"/>
    <xf numFmtId="0" fontId="47" fillId="29" borderId="30" xfId="6" applyFont="1" applyFill="1" applyBorder="1" applyAlignment="1">
      <alignment vertical="justify"/>
    </xf>
    <xf numFmtId="0" fontId="43" fillId="29" borderId="30" xfId="0" applyFont="1" applyFill="1" applyBorder="1" applyAlignment="1">
      <alignment horizontal="center" vertical="center"/>
    </xf>
    <xf numFmtId="164" fontId="43" fillId="29" borderId="30" xfId="0" applyNumberFormat="1" applyFont="1" applyFill="1" applyBorder="1" applyAlignment="1">
      <alignment horizontal="center" vertical="center"/>
    </xf>
    <xf numFmtId="166" fontId="43" fillId="29" borderId="30" xfId="2" applyNumberFormat="1" applyFont="1" applyFill="1" applyBorder="1" applyAlignment="1">
      <alignment horizontal="center" vertical="center"/>
    </xf>
    <xf numFmtId="168" fontId="43" fillId="29" borderId="30" xfId="2" applyNumberFormat="1" applyFont="1" applyFill="1" applyBorder="1" applyAlignment="1">
      <alignment horizontal="center" vertical="center"/>
    </xf>
    <xf numFmtId="43" fontId="43" fillId="29" borderId="30" xfId="2" applyFont="1" applyFill="1" applyBorder="1" applyAlignment="1">
      <alignment horizontal="center" vertical="center"/>
    </xf>
    <xf numFmtId="0" fontId="43" fillId="29" borderId="31" xfId="0" applyFont="1" applyFill="1" applyBorder="1" applyAlignment="1">
      <alignment horizontal="center" vertical="center"/>
    </xf>
    <xf numFmtId="43" fontId="43" fillId="29" borderId="21" xfId="2" applyFont="1" applyFill="1" applyBorder="1" applyAlignment="1">
      <alignment horizontal="center" vertical="center"/>
    </xf>
    <xf numFmtId="173" fontId="43" fillId="29" borderId="1" xfId="2" applyNumberFormat="1" applyFont="1" applyFill="1" applyBorder="1" applyAlignment="1">
      <alignment horizontal="center" vertical="center"/>
    </xf>
    <xf numFmtId="173" fontId="43" fillId="29" borderId="30" xfId="2" applyNumberFormat="1" applyFont="1" applyFill="1" applyBorder="1" applyAlignment="1">
      <alignment horizontal="center" vertical="center"/>
    </xf>
    <xf numFmtId="0" fontId="37" fillId="30" borderId="1" xfId="6" applyFill="1" applyBorder="1" applyAlignment="1">
      <alignment vertical="justify"/>
    </xf>
    <xf numFmtId="0" fontId="17" fillId="30" borderId="1" xfId="0" applyFont="1" applyFill="1" applyBorder="1" applyAlignment="1">
      <alignment horizontal="center" vertical="center"/>
    </xf>
    <xf numFmtId="164" fontId="17" fillId="30" borderId="1" xfId="0" applyNumberFormat="1" applyFont="1" applyFill="1" applyBorder="1" applyAlignment="1">
      <alignment horizontal="center" vertical="center"/>
    </xf>
    <xf numFmtId="166" fontId="17" fillId="30" borderId="1" xfId="2" applyNumberFormat="1" applyFont="1" applyFill="1" applyBorder="1" applyAlignment="1">
      <alignment horizontal="center" vertical="center"/>
    </xf>
    <xf numFmtId="168" fontId="17" fillId="30" borderId="1" xfId="2" applyNumberFormat="1" applyFont="1" applyFill="1" applyBorder="1" applyAlignment="1">
      <alignment horizontal="center" vertical="center"/>
    </xf>
    <xf numFmtId="43" fontId="17" fillId="30" borderId="1" xfId="2" applyFont="1" applyFill="1" applyBorder="1" applyAlignment="1">
      <alignment horizontal="center" vertical="center"/>
    </xf>
    <xf numFmtId="0" fontId="17" fillId="30" borderId="12" xfId="0" applyFont="1" applyFill="1" applyBorder="1" applyAlignment="1">
      <alignment horizontal="center" vertical="center"/>
    </xf>
    <xf numFmtId="1" fontId="17" fillId="30" borderId="12" xfId="0" applyNumberFormat="1" applyFont="1" applyFill="1" applyBorder="1" applyAlignment="1">
      <alignment horizontal="center" vertical="center"/>
    </xf>
    <xf numFmtId="43" fontId="17" fillId="30" borderId="11" xfId="2" applyFont="1" applyFill="1" applyBorder="1" applyAlignment="1">
      <alignment horizontal="center" vertical="center"/>
    </xf>
    <xf numFmtId="0" fontId="17" fillId="30" borderId="0" xfId="0" applyFont="1" applyFill="1" applyAlignment="1">
      <alignment horizontal="center" vertical="center"/>
    </xf>
    <xf numFmtId="0" fontId="17" fillId="30" borderId="11" xfId="0" applyFont="1" applyFill="1" applyBorder="1" applyAlignment="1">
      <alignment horizontal="center" vertical="center"/>
    </xf>
    <xf numFmtId="173" fontId="17" fillId="30" borderId="1" xfId="2" applyNumberFormat="1" applyFont="1" applyFill="1" applyBorder="1" applyAlignment="1">
      <alignment horizontal="center" vertical="center"/>
    </xf>
    <xf numFmtId="0" fontId="37" fillId="10" borderId="1" xfId="6" applyFill="1" applyBorder="1" applyAlignment="1">
      <alignment vertical="justify"/>
    </xf>
    <xf numFmtId="0" fontId="17" fillId="10" borderId="1" xfId="0" applyFont="1" applyFill="1" applyBorder="1" applyAlignment="1">
      <alignment horizontal="center" vertical="center"/>
    </xf>
    <xf numFmtId="164" fontId="17" fillId="10" borderId="1" xfId="0" applyNumberFormat="1" applyFont="1" applyFill="1" applyBorder="1" applyAlignment="1">
      <alignment horizontal="center" vertical="center"/>
    </xf>
    <xf numFmtId="166" fontId="17" fillId="10" borderId="1" xfId="2" applyNumberFormat="1" applyFont="1" applyFill="1" applyBorder="1" applyAlignment="1">
      <alignment horizontal="center" vertical="center"/>
    </xf>
    <xf numFmtId="168" fontId="17" fillId="10" borderId="1" xfId="2" applyNumberFormat="1" applyFont="1" applyFill="1" applyBorder="1" applyAlignment="1">
      <alignment horizontal="center" vertical="center"/>
    </xf>
    <xf numFmtId="43" fontId="17" fillId="10" borderId="1" xfId="2" applyFont="1" applyFill="1" applyBorder="1" applyAlignment="1">
      <alignment horizontal="center" vertical="center"/>
    </xf>
    <xf numFmtId="0" fontId="17" fillId="10" borderId="12" xfId="0" applyFont="1" applyFill="1" applyBorder="1" applyAlignment="1">
      <alignment horizontal="center" vertical="center"/>
    </xf>
    <xf numFmtId="1" fontId="17" fillId="10" borderId="12" xfId="0" applyNumberFormat="1" applyFont="1" applyFill="1" applyBorder="1" applyAlignment="1">
      <alignment horizontal="center" vertical="center"/>
    </xf>
    <xf numFmtId="43" fontId="17" fillId="10" borderId="11" xfId="2" applyFont="1" applyFill="1" applyBorder="1" applyAlignment="1">
      <alignment horizontal="center" vertical="center"/>
    </xf>
    <xf numFmtId="1" fontId="17" fillId="10" borderId="11" xfId="2" applyNumberFormat="1" applyFont="1" applyFill="1" applyBorder="1" applyAlignment="1">
      <alignment horizontal="center" vertical="center"/>
    </xf>
    <xf numFmtId="0" fontId="17" fillId="10" borderId="0" xfId="0" applyFont="1" applyFill="1" applyAlignment="1">
      <alignment horizontal="center" vertical="center"/>
    </xf>
    <xf numFmtId="0" fontId="17" fillId="10" borderId="11" xfId="0" applyFont="1" applyFill="1" applyBorder="1" applyAlignment="1">
      <alignment horizontal="center" vertical="center"/>
    </xf>
    <xf numFmtId="173" fontId="17" fillId="10" borderId="1" xfId="2" applyNumberFormat="1" applyFont="1" applyFill="1" applyBorder="1" applyAlignment="1">
      <alignment horizontal="center" vertical="center"/>
    </xf>
    <xf numFmtId="0" fontId="37" fillId="8" borderId="1" xfId="6" applyFill="1" applyBorder="1" applyAlignment="1">
      <alignment vertical="justify"/>
    </xf>
    <xf numFmtId="0" fontId="17" fillId="8" borderId="1" xfId="0" applyFont="1" applyFill="1" applyBorder="1" applyAlignment="1">
      <alignment horizontal="center" vertical="center"/>
    </xf>
    <xf numFmtId="164" fontId="17" fillId="8" borderId="1" xfId="0" applyNumberFormat="1" applyFont="1" applyFill="1" applyBorder="1" applyAlignment="1">
      <alignment horizontal="center" vertical="center"/>
    </xf>
    <xf numFmtId="166" fontId="17" fillId="8" borderId="1" xfId="2" applyNumberFormat="1" applyFont="1" applyFill="1" applyBorder="1" applyAlignment="1">
      <alignment horizontal="center" vertical="center"/>
    </xf>
    <xf numFmtId="168" fontId="17" fillId="8" borderId="1" xfId="2" applyNumberFormat="1" applyFont="1" applyFill="1" applyBorder="1" applyAlignment="1">
      <alignment horizontal="center" vertical="center"/>
    </xf>
    <xf numFmtId="43" fontId="17" fillId="8" borderId="1" xfId="2" applyFont="1" applyFill="1" applyBorder="1" applyAlignment="1">
      <alignment horizontal="center" vertical="center"/>
    </xf>
    <xf numFmtId="0" fontId="17" fillId="8" borderId="12" xfId="0" applyFont="1" applyFill="1" applyBorder="1" applyAlignment="1">
      <alignment horizontal="center" vertical="center"/>
    </xf>
    <xf numFmtId="1" fontId="17" fillId="8" borderId="12" xfId="0" applyNumberFormat="1" applyFont="1" applyFill="1" applyBorder="1" applyAlignment="1">
      <alignment horizontal="center" vertical="center"/>
    </xf>
    <xf numFmtId="43" fontId="17" fillId="8" borderId="11" xfId="2" applyFont="1" applyFill="1" applyBorder="1" applyAlignment="1">
      <alignment horizontal="center" vertical="center"/>
    </xf>
    <xf numFmtId="1" fontId="17" fillId="8" borderId="11" xfId="2" applyNumberFormat="1" applyFont="1" applyFill="1" applyBorder="1" applyAlignment="1">
      <alignment horizontal="center" vertical="center"/>
    </xf>
    <xf numFmtId="0" fontId="17" fillId="8" borderId="0" xfId="0" applyFont="1" applyFill="1" applyAlignment="1">
      <alignment horizontal="center" vertical="center"/>
    </xf>
    <xf numFmtId="0" fontId="17" fillId="8" borderId="11" xfId="0" applyFont="1" applyFill="1" applyBorder="1" applyAlignment="1">
      <alignment horizontal="center" vertical="center"/>
    </xf>
    <xf numFmtId="173" fontId="17" fillId="8" borderId="1" xfId="2" applyNumberFormat="1" applyFont="1" applyFill="1" applyBorder="1" applyAlignment="1">
      <alignment horizontal="center" vertical="center"/>
    </xf>
    <xf numFmtId="0" fontId="37" fillId="31" borderId="1" xfId="6" applyFill="1" applyBorder="1" applyAlignment="1">
      <alignment vertical="justify"/>
    </xf>
    <xf numFmtId="0" fontId="17" fillId="31" borderId="1" xfId="0" applyFont="1" applyFill="1" applyBorder="1" applyAlignment="1">
      <alignment horizontal="center" vertical="center"/>
    </xf>
    <xf numFmtId="164" fontId="17" fillId="31" borderId="1" xfId="0" applyNumberFormat="1" applyFont="1" applyFill="1" applyBorder="1" applyAlignment="1">
      <alignment horizontal="center" vertical="center"/>
    </xf>
    <xf numFmtId="166" fontId="17" fillId="31" borderId="1" xfId="2" applyNumberFormat="1" applyFont="1" applyFill="1" applyBorder="1" applyAlignment="1">
      <alignment horizontal="center" vertical="center"/>
    </xf>
    <xf numFmtId="168" fontId="17" fillId="31" borderId="1" xfId="2" applyNumberFormat="1" applyFont="1" applyFill="1" applyBorder="1" applyAlignment="1">
      <alignment horizontal="center" vertical="center"/>
    </xf>
    <xf numFmtId="43" fontId="17" fillId="31" borderId="1" xfId="2" applyFont="1" applyFill="1" applyBorder="1" applyAlignment="1">
      <alignment horizontal="center" vertical="center"/>
    </xf>
    <xf numFmtId="0" fontId="17" fillId="31" borderId="12" xfId="0" applyFont="1" applyFill="1" applyBorder="1" applyAlignment="1">
      <alignment horizontal="center" vertical="center"/>
    </xf>
    <xf numFmtId="1" fontId="17" fillId="31" borderId="12" xfId="0" applyNumberFormat="1" applyFont="1" applyFill="1" applyBorder="1" applyAlignment="1">
      <alignment horizontal="center" vertical="center"/>
    </xf>
    <xf numFmtId="43" fontId="17" fillId="31" borderId="11" xfId="2" applyFont="1" applyFill="1" applyBorder="1" applyAlignment="1">
      <alignment horizontal="center" vertical="center"/>
    </xf>
    <xf numFmtId="1" fontId="17" fillId="31" borderId="11" xfId="2" applyNumberFormat="1" applyFont="1" applyFill="1" applyBorder="1" applyAlignment="1">
      <alignment horizontal="center" vertical="center"/>
    </xf>
    <xf numFmtId="0" fontId="17" fillId="31" borderId="0" xfId="0" applyFont="1" applyFill="1" applyAlignment="1">
      <alignment horizontal="center" vertical="center"/>
    </xf>
    <xf numFmtId="0" fontId="17" fillId="31" borderId="11" xfId="0" applyFont="1" applyFill="1" applyBorder="1" applyAlignment="1">
      <alignment horizontal="center" vertical="center"/>
    </xf>
    <xf numFmtId="173" fontId="17" fillId="31" borderId="1" xfId="2" applyNumberFormat="1" applyFont="1" applyFill="1" applyBorder="1" applyAlignment="1">
      <alignment horizontal="center" vertical="center"/>
    </xf>
    <xf numFmtId="0" fontId="37" fillId="38" borderId="11" xfId="6" applyFill="1" applyBorder="1" applyAlignment="1">
      <alignment vertical="justify"/>
    </xf>
    <xf numFmtId="0" fontId="17" fillId="38" borderId="11" xfId="0" applyFont="1" applyFill="1" applyBorder="1" applyAlignment="1">
      <alignment horizontal="center" vertical="center"/>
    </xf>
    <xf numFmtId="0" fontId="17" fillId="38" borderId="1" xfId="0" applyFont="1" applyFill="1" applyBorder="1" applyAlignment="1">
      <alignment horizontal="center" vertical="center"/>
    </xf>
    <xf numFmtId="164" fontId="17" fillId="38" borderId="11" xfId="0" applyNumberFormat="1" applyFont="1" applyFill="1" applyBorder="1" applyAlignment="1">
      <alignment horizontal="center" vertical="center"/>
    </xf>
    <xf numFmtId="168" fontId="17" fillId="38" borderId="11" xfId="0" applyNumberFormat="1" applyFont="1" applyFill="1" applyBorder="1" applyAlignment="1">
      <alignment horizontal="center" vertical="center"/>
    </xf>
    <xf numFmtId="2" fontId="17" fillId="38" borderId="11" xfId="0" applyNumberFormat="1" applyFont="1" applyFill="1" applyBorder="1" applyAlignment="1">
      <alignment horizontal="right" vertical="center"/>
    </xf>
    <xf numFmtId="0" fontId="17" fillId="38" borderId="31" xfId="0" applyFont="1" applyFill="1" applyBorder="1" applyAlignment="1">
      <alignment horizontal="center" vertical="center"/>
    </xf>
    <xf numFmtId="1" fontId="17" fillId="38" borderId="12" xfId="0" applyNumberFormat="1" applyFont="1" applyFill="1" applyBorder="1" applyAlignment="1">
      <alignment horizontal="center" vertical="center"/>
    </xf>
    <xf numFmtId="43" fontId="17" fillId="38" borderId="11" xfId="2" applyFont="1" applyFill="1" applyBorder="1" applyAlignment="1">
      <alignment horizontal="center" vertical="center"/>
    </xf>
    <xf numFmtId="1" fontId="17" fillId="38" borderId="11" xfId="0" applyNumberFormat="1" applyFont="1" applyFill="1" applyBorder="1" applyAlignment="1">
      <alignment horizontal="center" vertical="center"/>
    </xf>
    <xf numFmtId="0" fontId="17" fillId="38" borderId="0" xfId="0" applyFont="1" applyFill="1" applyAlignment="1">
      <alignment horizontal="center" vertical="center"/>
    </xf>
    <xf numFmtId="0" fontId="37" fillId="38" borderId="11" xfId="6" applyFill="1" applyBorder="1"/>
    <xf numFmtId="43" fontId="17" fillId="38" borderId="11" xfId="0" applyNumberFormat="1" applyFont="1" applyFill="1" applyBorder="1" applyAlignment="1">
      <alignment horizontal="center" vertical="center"/>
    </xf>
    <xf numFmtId="173" fontId="17" fillId="38" borderId="30" xfId="2" applyNumberFormat="1" applyFont="1" applyFill="1" applyBorder="1" applyAlignment="1">
      <alignment horizontal="center" vertical="center"/>
    </xf>
    <xf numFmtId="0" fontId="17" fillId="28" borderId="11" xfId="0" applyFont="1" applyFill="1" applyBorder="1" applyAlignment="1">
      <alignment horizontal="center" vertical="center"/>
    </xf>
    <xf numFmtId="0" fontId="17" fillId="28" borderId="1" xfId="0" applyFont="1" applyFill="1" applyBorder="1" applyAlignment="1">
      <alignment horizontal="center" vertical="center"/>
    </xf>
    <xf numFmtId="1" fontId="17" fillId="28" borderId="12" xfId="0" applyNumberFormat="1" applyFont="1" applyFill="1" applyBorder="1" applyAlignment="1">
      <alignment horizontal="center" vertical="center"/>
    </xf>
    <xf numFmtId="43" fontId="17" fillId="28" borderId="11" xfId="2" applyFont="1" applyFill="1" applyBorder="1" applyAlignment="1">
      <alignment horizontal="center" vertical="center"/>
    </xf>
    <xf numFmtId="0" fontId="17" fillId="28" borderId="0" xfId="0" applyFont="1" applyFill="1" applyAlignment="1">
      <alignment horizontal="center" vertical="center"/>
    </xf>
    <xf numFmtId="0" fontId="37" fillId="31" borderId="11" xfId="6" applyFill="1" applyBorder="1" applyAlignment="1">
      <alignment vertical="justify"/>
    </xf>
    <xf numFmtId="164" fontId="17" fillId="31" borderId="11" xfId="0" applyNumberFormat="1" applyFont="1" applyFill="1" applyBorder="1" applyAlignment="1">
      <alignment horizontal="center" vertical="center"/>
    </xf>
    <xf numFmtId="168" fontId="17" fillId="31" borderId="11" xfId="0" applyNumberFormat="1" applyFont="1" applyFill="1" applyBorder="1" applyAlignment="1">
      <alignment horizontal="center" vertical="center"/>
    </xf>
    <xf numFmtId="2" fontId="17" fillId="31" borderId="11" xfId="0" applyNumberFormat="1" applyFont="1" applyFill="1" applyBorder="1" applyAlignment="1">
      <alignment horizontal="right" vertical="center"/>
    </xf>
    <xf numFmtId="0" fontId="17" fillId="31" borderId="31" xfId="0" applyFont="1" applyFill="1" applyBorder="1" applyAlignment="1">
      <alignment horizontal="center" vertical="center"/>
    </xf>
    <xf numFmtId="1" fontId="17" fillId="31" borderId="11" xfId="0" applyNumberFormat="1" applyFont="1" applyFill="1" applyBorder="1" applyAlignment="1">
      <alignment horizontal="center" vertical="center"/>
    </xf>
    <xf numFmtId="173" fontId="17" fillId="31" borderId="30" xfId="2" applyNumberFormat="1" applyFont="1" applyFill="1" applyBorder="1" applyAlignment="1">
      <alignment horizontal="center" vertical="center"/>
    </xf>
    <xf numFmtId="1" fontId="17" fillId="31" borderId="0" xfId="0" applyNumberFormat="1" applyFont="1" applyFill="1" applyAlignment="1">
      <alignment horizontal="center" vertical="center"/>
    </xf>
    <xf numFmtId="0" fontId="37" fillId="10" borderId="11" xfId="6" applyFill="1" applyBorder="1" applyAlignment="1">
      <alignment vertical="justify"/>
    </xf>
    <xf numFmtId="164" fontId="17" fillId="10" borderId="11" xfId="0" applyNumberFormat="1" applyFont="1" applyFill="1" applyBorder="1" applyAlignment="1">
      <alignment horizontal="center" vertical="center"/>
    </xf>
    <xf numFmtId="43" fontId="17" fillId="10" borderId="11" xfId="0" applyNumberFormat="1" applyFont="1" applyFill="1" applyBorder="1" applyAlignment="1">
      <alignment horizontal="center" vertical="center"/>
    </xf>
    <xf numFmtId="168" fontId="17" fillId="10" borderId="11" xfId="0" applyNumberFormat="1" applyFont="1" applyFill="1" applyBorder="1" applyAlignment="1">
      <alignment horizontal="center" vertical="center"/>
    </xf>
    <xf numFmtId="2" fontId="17" fillId="10" borderId="11" xfId="0" applyNumberFormat="1" applyFont="1" applyFill="1" applyBorder="1" applyAlignment="1">
      <alignment horizontal="right" vertical="center"/>
    </xf>
    <xf numFmtId="0" fontId="17" fillId="10" borderId="31" xfId="0" applyFont="1" applyFill="1" applyBorder="1" applyAlignment="1">
      <alignment horizontal="center" vertical="center"/>
    </xf>
    <xf numFmtId="1" fontId="17" fillId="10" borderId="11" xfId="0" applyNumberFormat="1" applyFont="1" applyFill="1" applyBorder="1" applyAlignment="1">
      <alignment horizontal="center" vertical="center"/>
    </xf>
    <xf numFmtId="173" fontId="17" fillId="10" borderId="30" xfId="2" applyNumberFormat="1" applyFont="1" applyFill="1" applyBorder="1" applyAlignment="1">
      <alignment horizontal="center" vertical="center"/>
    </xf>
    <xf numFmtId="0" fontId="37" fillId="8" borderId="11" xfId="6" applyFill="1" applyBorder="1" applyAlignment="1">
      <alignment vertical="justify"/>
    </xf>
    <xf numFmtId="164" fontId="17" fillId="8" borderId="11" xfId="0" applyNumberFormat="1" applyFont="1" applyFill="1" applyBorder="1" applyAlignment="1">
      <alignment horizontal="center" vertical="center"/>
    </xf>
    <xf numFmtId="43" fontId="17" fillId="8" borderId="11" xfId="0" applyNumberFormat="1" applyFont="1" applyFill="1" applyBorder="1" applyAlignment="1">
      <alignment horizontal="center" vertical="center"/>
    </xf>
    <xf numFmtId="168" fontId="17" fillId="8" borderId="11" xfId="0" applyNumberFormat="1" applyFont="1" applyFill="1" applyBorder="1" applyAlignment="1">
      <alignment horizontal="center" vertical="center"/>
    </xf>
    <xf numFmtId="2" fontId="17" fillId="8" borderId="11" xfId="0" applyNumberFormat="1" applyFont="1" applyFill="1" applyBorder="1" applyAlignment="1">
      <alignment horizontal="right" vertical="center"/>
    </xf>
    <xf numFmtId="0" fontId="17" fillId="8" borderId="31" xfId="0" applyFont="1" applyFill="1" applyBorder="1" applyAlignment="1">
      <alignment horizontal="center" vertical="center"/>
    </xf>
    <xf numFmtId="1" fontId="17" fillId="8" borderId="11" xfId="0" applyNumberFormat="1" applyFont="1" applyFill="1" applyBorder="1" applyAlignment="1">
      <alignment horizontal="center" vertical="center"/>
    </xf>
    <xf numFmtId="173" fontId="17" fillId="8" borderId="11" xfId="2" applyNumberFormat="1" applyFont="1" applyFill="1" applyBorder="1" applyAlignment="1">
      <alignment horizontal="center" vertical="center"/>
    </xf>
    <xf numFmtId="173" fontId="17" fillId="8" borderId="30" xfId="2" applyNumberFormat="1" applyFont="1" applyFill="1" applyBorder="1" applyAlignment="1">
      <alignment horizontal="center" vertical="center"/>
    </xf>
    <xf numFmtId="1" fontId="17" fillId="6" borderId="11" xfId="2" applyNumberFormat="1" applyFont="1" applyFill="1" applyBorder="1" applyAlignment="1">
      <alignment horizontal="center" vertical="center"/>
    </xf>
    <xf numFmtId="164" fontId="17" fillId="38" borderId="1" xfId="0" applyNumberFormat="1" applyFont="1" applyFill="1" applyBorder="1" applyAlignment="1">
      <alignment horizontal="center" vertical="center"/>
    </xf>
    <xf numFmtId="166" fontId="17" fillId="38" borderId="1" xfId="2" applyNumberFormat="1" applyFont="1" applyFill="1" applyBorder="1" applyAlignment="1">
      <alignment horizontal="center" vertical="center"/>
    </xf>
    <xf numFmtId="168" fontId="17" fillId="38" borderId="1" xfId="2" applyNumberFormat="1" applyFont="1" applyFill="1" applyBorder="1" applyAlignment="1">
      <alignment horizontal="center" vertical="center"/>
    </xf>
    <xf numFmtId="43" fontId="17" fillId="38" borderId="1" xfId="2" applyFont="1" applyFill="1" applyBorder="1" applyAlignment="1">
      <alignment horizontal="center" vertical="center"/>
    </xf>
    <xf numFmtId="0" fontId="17" fillId="38" borderId="12" xfId="0" applyFont="1" applyFill="1" applyBorder="1" applyAlignment="1">
      <alignment horizontal="center" vertical="center"/>
    </xf>
    <xf numFmtId="1" fontId="17" fillId="38" borderId="11" xfId="2" applyNumberFormat="1" applyFont="1" applyFill="1" applyBorder="1" applyAlignment="1">
      <alignment horizontal="center" vertical="center"/>
    </xf>
    <xf numFmtId="0" fontId="37" fillId="38" borderId="1" xfId="6" applyFill="1" applyBorder="1" applyAlignment="1">
      <alignment vertical="justify"/>
    </xf>
    <xf numFmtId="173" fontId="17" fillId="38" borderId="1" xfId="2" applyNumberFormat="1" applyFont="1" applyFill="1" applyBorder="1" applyAlignment="1">
      <alignment horizontal="center" vertical="center"/>
    </xf>
    <xf numFmtId="0" fontId="37" fillId="10" borderId="1" xfId="6" applyFill="1" applyBorder="1" applyAlignment="1">
      <alignment horizontal="left" vertical="center"/>
    </xf>
    <xf numFmtId="3" fontId="17" fillId="10" borderId="1" xfId="0" applyNumberFormat="1" applyFont="1" applyFill="1" applyBorder="1" applyAlignment="1">
      <alignment horizontal="center" vertical="center"/>
    </xf>
    <xf numFmtId="0" fontId="37" fillId="10" borderId="11" xfId="6" applyFill="1" applyBorder="1"/>
    <xf numFmtId="0" fontId="37" fillId="28" borderId="11" xfId="6" applyFill="1" applyBorder="1"/>
    <xf numFmtId="164" fontId="17" fillId="28" borderId="1" xfId="0" applyNumberFormat="1" applyFont="1" applyFill="1" applyBorder="1" applyAlignment="1">
      <alignment horizontal="center" vertical="center"/>
    </xf>
    <xf numFmtId="166" fontId="17" fillId="28" borderId="1" xfId="2" applyNumberFormat="1" applyFont="1" applyFill="1" applyBorder="1" applyAlignment="1">
      <alignment horizontal="center" vertical="center"/>
    </xf>
    <xf numFmtId="168" fontId="17" fillId="28" borderId="1" xfId="2" applyNumberFormat="1" applyFont="1" applyFill="1" applyBorder="1" applyAlignment="1">
      <alignment horizontal="center" vertical="center"/>
    </xf>
    <xf numFmtId="43" fontId="17" fillId="28" borderId="1" xfId="2" applyFont="1" applyFill="1" applyBorder="1" applyAlignment="1">
      <alignment horizontal="center" vertical="center"/>
    </xf>
    <xf numFmtId="0" fontId="17" fillId="28" borderId="12" xfId="0" applyFont="1" applyFill="1" applyBorder="1" applyAlignment="1">
      <alignment horizontal="center" vertical="center"/>
    </xf>
    <xf numFmtId="1" fontId="17" fillId="28" borderId="11" xfId="2" applyNumberFormat="1" applyFont="1" applyFill="1" applyBorder="1" applyAlignment="1">
      <alignment horizontal="center" vertical="center"/>
    </xf>
    <xf numFmtId="0" fontId="17" fillId="25" borderId="1" xfId="0" applyFont="1" applyFill="1" applyBorder="1" applyAlignment="1">
      <alignment horizontal="center" vertical="center"/>
    </xf>
    <xf numFmtId="164" fontId="17" fillId="25" borderId="1" xfId="0" applyNumberFormat="1" applyFont="1" applyFill="1" applyBorder="1" applyAlignment="1">
      <alignment horizontal="center" vertical="center"/>
    </xf>
    <xf numFmtId="166" fontId="17" fillId="25" borderId="1" xfId="2" applyNumberFormat="1" applyFont="1" applyFill="1" applyBorder="1" applyAlignment="1">
      <alignment horizontal="center" vertical="center"/>
    </xf>
    <xf numFmtId="43" fontId="17" fillId="25" borderId="1" xfId="2" applyFont="1" applyFill="1" applyBorder="1" applyAlignment="1">
      <alignment horizontal="center" vertical="center"/>
    </xf>
    <xf numFmtId="0" fontId="17" fillId="25" borderId="12" xfId="0" applyFont="1" applyFill="1" applyBorder="1" applyAlignment="1">
      <alignment horizontal="center" vertical="center"/>
    </xf>
    <xf numFmtId="1" fontId="17" fillId="25" borderId="12" xfId="0" applyNumberFormat="1" applyFont="1" applyFill="1" applyBorder="1" applyAlignment="1">
      <alignment horizontal="center" vertical="center"/>
    </xf>
    <xf numFmtId="43" fontId="17" fillId="25" borderId="11" xfId="2" applyFont="1" applyFill="1" applyBorder="1" applyAlignment="1">
      <alignment horizontal="center" vertical="center"/>
    </xf>
    <xf numFmtId="0" fontId="17" fillId="25" borderId="0" xfId="0" applyFont="1" applyFill="1" applyAlignment="1">
      <alignment horizontal="center" vertical="center"/>
    </xf>
    <xf numFmtId="0" fontId="43" fillId="25" borderId="1" xfId="0" applyFont="1" applyFill="1" applyBorder="1" applyAlignment="1">
      <alignment horizontal="center" vertical="center"/>
    </xf>
    <xf numFmtId="164" fontId="43" fillId="25" borderId="1" xfId="0" applyNumberFormat="1" applyFont="1" applyFill="1" applyBorder="1" applyAlignment="1">
      <alignment horizontal="center" vertical="center"/>
    </xf>
    <xf numFmtId="166" fontId="43" fillId="25" borderId="1" xfId="2" applyNumberFormat="1" applyFont="1" applyFill="1" applyBorder="1" applyAlignment="1">
      <alignment horizontal="center" vertical="center"/>
    </xf>
    <xf numFmtId="168" fontId="43" fillId="25" borderId="1" xfId="2" applyNumberFormat="1" applyFont="1" applyFill="1" applyBorder="1" applyAlignment="1">
      <alignment horizontal="center" vertical="center"/>
    </xf>
    <xf numFmtId="43" fontId="43" fillId="25" borderId="1" xfId="2" applyFont="1" applyFill="1" applyBorder="1" applyAlignment="1">
      <alignment horizontal="center" vertical="center"/>
    </xf>
    <xf numFmtId="0" fontId="43" fillId="25" borderId="12" xfId="0" applyFont="1" applyFill="1" applyBorder="1" applyAlignment="1">
      <alignment horizontal="center" vertical="center"/>
    </xf>
    <xf numFmtId="1" fontId="43" fillId="25" borderId="12" xfId="0" applyNumberFormat="1" applyFont="1" applyFill="1" applyBorder="1" applyAlignment="1">
      <alignment horizontal="center" vertical="center"/>
    </xf>
    <xf numFmtId="43" fontId="43" fillId="25" borderId="11" xfId="2" applyFont="1" applyFill="1" applyBorder="1" applyAlignment="1">
      <alignment horizontal="center" vertical="center"/>
    </xf>
    <xf numFmtId="1" fontId="43" fillId="25" borderId="11" xfId="2" applyNumberFormat="1" applyFont="1" applyFill="1" applyBorder="1" applyAlignment="1">
      <alignment horizontal="center" vertical="center"/>
    </xf>
    <xf numFmtId="0" fontId="43" fillId="25" borderId="0" xfId="0" applyFont="1" applyFill="1" applyAlignment="1">
      <alignment horizontal="center" vertical="center"/>
    </xf>
    <xf numFmtId="0" fontId="43" fillId="25" borderId="11" xfId="0" applyFont="1" applyFill="1" applyBorder="1" applyAlignment="1">
      <alignment horizontal="center" vertical="center"/>
    </xf>
    <xf numFmtId="173" fontId="17" fillId="28" borderId="1" xfId="2" applyNumberFormat="1" applyFont="1" applyFill="1" applyBorder="1" applyAlignment="1">
      <alignment horizontal="center" vertical="center"/>
    </xf>
    <xf numFmtId="173" fontId="17" fillId="25" borderId="1" xfId="2" applyNumberFormat="1" applyFont="1" applyFill="1" applyBorder="1" applyAlignment="1">
      <alignment horizontal="center" vertical="center"/>
    </xf>
    <xf numFmtId="168" fontId="17" fillId="0" borderId="0" xfId="0" applyNumberFormat="1" applyFont="1" applyAlignment="1">
      <alignment vertical="justify"/>
    </xf>
    <xf numFmtId="164" fontId="16" fillId="6" borderId="1" xfId="0" applyNumberFormat="1" applyFont="1" applyFill="1" applyBorder="1" applyAlignment="1">
      <alignment horizontal="center" vertical="center"/>
    </xf>
    <xf numFmtId="164" fontId="14" fillId="8" borderId="11" xfId="0" applyNumberFormat="1" applyFont="1" applyFill="1" applyBorder="1" applyAlignment="1">
      <alignment horizontal="center" vertical="center"/>
    </xf>
    <xf numFmtId="164" fontId="48" fillId="31" borderId="11" xfId="0" applyNumberFormat="1" applyFont="1" applyFill="1" applyBorder="1" applyAlignment="1">
      <alignment horizontal="center" vertical="center"/>
    </xf>
    <xf numFmtId="164" fontId="48" fillId="38" borderId="11" xfId="0" applyNumberFormat="1" applyFont="1" applyFill="1" applyBorder="1" applyAlignment="1">
      <alignment horizontal="center" vertical="center"/>
    </xf>
    <xf numFmtId="164" fontId="13" fillId="38" borderId="11" xfId="0" applyNumberFormat="1" applyFont="1" applyFill="1" applyBorder="1" applyAlignment="1">
      <alignment horizontal="center" vertical="center"/>
    </xf>
    <xf numFmtId="164" fontId="13" fillId="10" borderId="11" xfId="0" applyNumberFormat="1" applyFont="1" applyFill="1" applyBorder="1" applyAlignment="1">
      <alignment horizontal="center" vertical="center"/>
    </xf>
    <xf numFmtId="164" fontId="48" fillId="29" borderId="1" xfId="0" applyNumberFormat="1" applyFont="1" applyFill="1" applyBorder="1" applyAlignment="1">
      <alignment horizontal="center" vertical="center"/>
    </xf>
    <xf numFmtId="164" fontId="48" fillId="29" borderId="30" xfId="0" applyNumberFormat="1" applyFont="1" applyFill="1" applyBorder="1" applyAlignment="1">
      <alignment horizontal="center" vertical="center"/>
    </xf>
    <xf numFmtId="164" fontId="48" fillId="31" borderId="1" xfId="0" applyNumberFormat="1" applyFont="1" applyFill="1" applyBorder="1" applyAlignment="1">
      <alignment horizontal="center" vertical="center"/>
    </xf>
    <xf numFmtId="164" fontId="48" fillId="25" borderId="1" xfId="0" applyNumberFormat="1" applyFont="1" applyFill="1" applyBorder="1" applyAlignment="1">
      <alignment horizontal="center" vertical="center"/>
    </xf>
    <xf numFmtId="164" fontId="49" fillId="0" borderId="0" xfId="0" applyNumberFormat="1" applyFont="1" applyAlignment="1">
      <alignment vertical="justify"/>
    </xf>
    <xf numFmtId="0" fontId="0" fillId="10" borderId="38" xfId="0" applyFill="1" applyBorder="1" applyAlignment="1">
      <alignment horizontal="center" vertical="center"/>
    </xf>
    <xf numFmtId="0" fontId="0" fillId="10" borderId="39" xfId="0" applyFill="1" applyBorder="1" applyAlignment="1">
      <alignment horizontal="center" vertical="center"/>
    </xf>
    <xf numFmtId="0" fontId="0" fillId="0" borderId="27" xfId="0" applyFill="1" applyBorder="1" applyAlignment="1">
      <alignment horizontal="center" vertical="center"/>
    </xf>
    <xf numFmtId="0" fontId="37" fillId="10" borderId="12" xfId="6" applyFill="1" applyBorder="1" applyAlignment="1">
      <alignment vertical="justify"/>
    </xf>
    <xf numFmtId="0" fontId="37" fillId="31" borderId="12" xfId="6" applyFill="1" applyBorder="1" applyAlignment="1">
      <alignment vertical="justify"/>
    </xf>
    <xf numFmtId="0" fontId="37" fillId="31" borderId="22" xfId="6" applyFill="1" applyBorder="1"/>
    <xf numFmtId="0" fontId="37" fillId="38" borderId="12" xfId="6" applyFill="1" applyBorder="1" applyAlignment="1">
      <alignment vertical="justify"/>
    </xf>
    <xf numFmtId="0" fontId="37" fillId="6" borderId="12" xfId="6" applyFill="1" applyBorder="1" applyAlignment="1">
      <alignment vertical="justify"/>
    </xf>
    <xf numFmtId="0" fontId="47" fillId="25" borderId="12" xfId="6" applyFont="1" applyFill="1" applyBorder="1" applyAlignment="1">
      <alignment vertical="justify"/>
    </xf>
    <xf numFmtId="0" fontId="0" fillId="10" borderId="36" xfId="0" applyFill="1" applyBorder="1" applyAlignment="1">
      <alignment horizontal="center" vertical="center"/>
    </xf>
    <xf numFmtId="0" fontId="0" fillId="10" borderId="27" xfId="0" applyFill="1" applyBorder="1" applyAlignment="1">
      <alignment horizontal="center" vertical="center"/>
    </xf>
    <xf numFmtId="0" fontId="0" fillId="6" borderId="27" xfId="0" applyFill="1" applyBorder="1" applyAlignment="1">
      <alignment horizontal="center" vertical="center"/>
    </xf>
    <xf numFmtId="0" fontId="0" fillId="31" borderId="27" xfId="0" applyFill="1" applyBorder="1" applyAlignment="1">
      <alignment horizontal="center" vertical="center"/>
    </xf>
    <xf numFmtId="0" fontId="0" fillId="38" borderId="36" xfId="0" applyFill="1" applyBorder="1" applyAlignment="1">
      <alignment horizontal="center" vertical="center"/>
    </xf>
    <xf numFmtId="0" fontId="0" fillId="38" borderId="27" xfId="0" applyFill="1" applyBorder="1" applyAlignment="1">
      <alignment horizontal="center" vertical="center"/>
    </xf>
    <xf numFmtId="0" fontId="0" fillId="38" borderId="39" xfId="0" applyFill="1" applyBorder="1" applyAlignment="1">
      <alignment horizontal="center" vertical="center"/>
    </xf>
    <xf numFmtId="0" fontId="0" fillId="38" borderId="38" xfId="0" applyFill="1" applyBorder="1" applyAlignment="1">
      <alignment horizontal="center" vertical="center"/>
    </xf>
    <xf numFmtId="0" fontId="0" fillId="30" borderId="27" xfId="0" applyFill="1" applyBorder="1" applyAlignment="1">
      <alignment horizontal="center" vertical="center"/>
    </xf>
    <xf numFmtId="0" fontId="0" fillId="29" borderId="27" xfId="0" applyFill="1" applyBorder="1" applyAlignment="1">
      <alignment horizontal="center" vertical="center"/>
    </xf>
    <xf numFmtId="0" fontId="0" fillId="31" borderId="36" xfId="0" applyFill="1" applyBorder="1" applyAlignment="1">
      <alignment horizontal="center" vertical="center"/>
    </xf>
    <xf numFmtId="0" fontId="5" fillId="0" borderId="26" xfId="0" applyFont="1" applyBorder="1"/>
    <xf numFmtId="0" fontId="9" fillId="0" borderId="26" xfId="0" applyFont="1" applyBorder="1"/>
    <xf numFmtId="0" fontId="17" fillId="25" borderId="11" xfId="0" applyFont="1" applyFill="1" applyBorder="1" applyAlignment="1">
      <alignment horizontal="center" vertical="center"/>
    </xf>
    <xf numFmtId="164" fontId="17" fillId="25" borderId="11" xfId="0" applyNumberFormat="1" applyFont="1" applyFill="1" applyBorder="1" applyAlignment="1">
      <alignment horizontal="center" vertical="center"/>
    </xf>
    <xf numFmtId="43" fontId="17" fillId="25" borderId="11" xfId="0" applyNumberFormat="1" applyFont="1" applyFill="1" applyBorder="1" applyAlignment="1">
      <alignment horizontal="center" vertical="center"/>
    </xf>
    <xf numFmtId="168" fontId="17" fillId="25" borderId="11" xfId="0" applyNumberFormat="1" applyFont="1" applyFill="1" applyBorder="1" applyAlignment="1">
      <alignment horizontal="center" vertical="center"/>
    </xf>
    <xf numFmtId="2" fontId="17" fillId="25" borderId="11" xfId="0" applyNumberFormat="1" applyFont="1" applyFill="1" applyBorder="1" applyAlignment="1">
      <alignment horizontal="right" vertical="center"/>
    </xf>
    <xf numFmtId="0" fontId="17" fillId="25" borderId="31" xfId="0" applyFont="1" applyFill="1" applyBorder="1" applyAlignment="1">
      <alignment horizontal="center" vertical="center"/>
    </xf>
    <xf numFmtId="1" fontId="17" fillId="25" borderId="11" xfId="0" applyNumberFormat="1" applyFont="1" applyFill="1" applyBorder="1" applyAlignment="1">
      <alignment horizontal="center" vertical="center"/>
    </xf>
    <xf numFmtId="173" fontId="17" fillId="25" borderId="30" xfId="2" applyNumberFormat="1" applyFont="1" applyFill="1" applyBorder="1" applyAlignment="1">
      <alignment horizontal="center" vertical="center"/>
    </xf>
    <xf numFmtId="164" fontId="0" fillId="25" borderId="11" xfId="0" applyNumberFormat="1" applyFont="1" applyFill="1" applyBorder="1" applyAlignment="1">
      <alignment horizontal="center" vertical="center"/>
    </xf>
    <xf numFmtId="0" fontId="4" fillId="0" borderId="0" xfId="0" applyFont="1" applyAlignment="1">
      <alignment horizontal="center"/>
    </xf>
    <xf numFmtId="0" fontId="0" fillId="11" borderId="11" xfId="0" applyFill="1" applyBorder="1" applyAlignment="1">
      <alignment horizontal="center" vertical="center"/>
    </xf>
    <xf numFmtId="0" fontId="0" fillId="13" borderId="11" xfId="0" applyFill="1" applyBorder="1" applyAlignment="1">
      <alignment horizontal="center" vertical="center"/>
    </xf>
    <xf numFmtId="0" fontId="0" fillId="12" borderId="11" xfId="0" applyFill="1" applyBorder="1" applyAlignment="1">
      <alignment horizontal="center" vertical="center"/>
    </xf>
    <xf numFmtId="0" fontId="4" fillId="0" borderId="0" xfId="0" applyFont="1" applyAlignment="1">
      <alignment horizontal="center"/>
    </xf>
    <xf numFmtId="1" fontId="0" fillId="11" borderId="11" xfId="0" applyNumberFormat="1" applyFill="1" applyBorder="1" applyAlignment="1">
      <alignment horizontal="center" vertical="center"/>
    </xf>
    <xf numFmtId="0" fontId="0" fillId="40" borderId="11" xfId="0" applyFill="1" applyBorder="1" applyAlignment="1">
      <alignment horizontal="center" vertical="center" wrapText="1"/>
    </xf>
    <xf numFmtId="0" fontId="0" fillId="40" borderId="11" xfId="0" applyFill="1" applyBorder="1" applyAlignment="1">
      <alignment horizontal="center" vertical="center"/>
    </xf>
    <xf numFmtId="2" fontId="0" fillId="12" borderId="11" xfId="0" applyNumberFormat="1" applyFill="1" applyBorder="1" applyAlignment="1">
      <alignment horizontal="center" vertical="center" wrapText="1"/>
    </xf>
    <xf numFmtId="0" fontId="9" fillId="12" borderId="11" xfId="0" applyFont="1" applyFill="1" applyBorder="1" applyAlignment="1">
      <alignment horizontal="center" vertical="center"/>
    </xf>
    <xf numFmtId="1" fontId="9" fillId="12" borderId="11" xfId="0" applyNumberFormat="1" applyFont="1" applyFill="1" applyBorder="1" applyAlignment="1">
      <alignment horizontal="center" vertical="center"/>
    </xf>
    <xf numFmtId="168" fontId="0" fillId="0" borderId="0" xfId="0" applyNumberFormat="1"/>
    <xf numFmtId="0" fontId="37" fillId="0" borderId="27" xfId="6" applyBorder="1" applyAlignment="1">
      <alignment vertical="justify"/>
    </xf>
    <xf numFmtId="0" fontId="37" fillId="0" borderId="27" xfId="6" applyBorder="1"/>
    <xf numFmtId="0" fontId="37" fillId="38" borderId="11" xfId="6" applyFill="1" applyBorder="1" applyAlignment="1">
      <alignment horizontal="center" vertical="center"/>
    </xf>
    <xf numFmtId="0" fontId="0" fillId="38" borderId="11" xfId="0" applyFill="1" applyBorder="1" applyAlignment="1">
      <alignment horizontal="center" vertical="center"/>
    </xf>
    <xf numFmtId="0" fontId="37" fillId="6" borderId="11" xfId="6" applyFill="1" applyBorder="1" applyAlignment="1">
      <alignment horizontal="center" vertical="center"/>
    </xf>
    <xf numFmtId="0" fontId="0" fillId="6" borderId="11" xfId="0" applyFill="1" applyBorder="1" applyAlignment="1">
      <alignment horizontal="center" vertical="center"/>
    </xf>
    <xf numFmtId="0" fontId="16" fillId="0" borderId="0" xfId="0" applyFont="1" applyBorder="1" applyAlignment="1">
      <alignment horizontal="center" vertical="center" wrapText="1"/>
    </xf>
    <xf numFmtId="1" fontId="17" fillId="6" borderId="11" xfId="0" applyNumberFormat="1" applyFont="1" applyFill="1" applyBorder="1" applyAlignment="1">
      <alignment horizontal="center" vertical="center"/>
    </xf>
    <xf numFmtId="1" fontId="17" fillId="15" borderId="11" xfId="0" applyNumberFormat="1" applyFont="1" applyFill="1" applyBorder="1" applyAlignment="1">
      <alignment horizontal="center" vertical="center"/>
    </xf>
    <xf numFmtId="1" fontId="17" fillId="28" borderId="11" xfId="0" applyNumberFormat="1" applyFont="1" applyFill="1" applyBorder="1" applyAlignment="1">
      <alignment horizontal="center" vertical="center"/>
    </xf>
    <xf numFmtId="1" fontId="17" fillId="43" borderId="11" xfId="0" applyNumberFormat="1" applyFont="1" applyFill="1" applyBorder="1" applyAlignment="1">
      <alignment horizontal="center" vertical="center"/>
    </xf>
    <xf numFmtId="1" fontId="17" fillId="29" borderId="11" xfId="0" applyNumberFormat="1" applyFont="1" applyFill="1" applyBorder="1" applyAlignment="1">
      <alignment horizontal="center" vertical="center"/>
    </xf>
    <xf numFmtId="43" fontId="17" fillId="0" borderId="0" xfId="0" applyNumberFormat="1" applyFont="1" applyAlignment="1">
      <alignment vertical="center"/>
    </xf>
    <xf numFmtId="0" fontId="17" fillId="0" borderId="0" xfId="0" applyFont="1" applyAlignment="1">
      <alignment vertical="center"/>
    </xf>
    <xf numFmtId="43" fontId="26" fillId="0" borderId="0" xfId="0" applyNumberFormat="1" applyFont="1" applyAlignment="1">
      <alignment vertical="center"/>
    </xf>
    <xf numFmtId="43" fontId="50" fillId="0" borderId="0" xfId="0" applyNumberFormat="1" applyFont="1" applyAlignment="1">
      <alignment vertical="center"/>
    </xf>
    <xf numFmtId="43" fontId="17" fillId="44" borderId="11" xfId="2" applyFont="1" applyFill="1" applyBorder="1" applyAlignment="1">
      <alignment horizontal="center" vertical="center"/>
    </xf>
    <xf numFmtId="0" fontId="17" fillId="44" borderId="0" xfId="0" applyFont="1" applyFill="1" applyAlignment="1">
      <alignment horizontal="center" vertical="center"/>
    </xf>
    <xf numFmtId="43" fontId="17" fillId="45" borderId="11" xfId="2" applyFont="1" applyFill="1" applyBorder="1" applyAlignment="1">
      <alignment horizontal="center" vertical="center"/>
    </xf>
    <xf numFmtId="0" fontId="17" fillId="45" borderId="0" xfId="0" applyFont="1" applyFill="1" applyAlignment="1">
      <alignment horizontal="center" vertical="center"/>
    </xf>
    <xf numFmtId="0" fontId="17" fillId="6" borderId="0" xfId="0" applyFont="1" applyFill="1" applyAlignment="1">
      <alignment vertical="center"/>
    </xf>
    <xf numFmtId="43" fontId="17" fillId="43" borderId="11" xfId="2" applyFont="1" applyFill="1" applyBorder="1" applyAlignment="1">
      <alignment horizontal="center" vertical="center"/>
    </xf>
    <xf numFmtId="0" fontId="17" fillId="43" borderId="0" xfId="0" applyFont="1" applyFill="1" applyAlignment="1">
      <alignment horizontal="center" vertical="center"/>
    </xf>
    <xf numFmtId="43" fontId="17" fillId="46" borderId="11" xfId="2" applyFont="1" applyFill="1" applyBorder="1" applyAlignment="1">
      <alignment horizontal="center" vertical="center"/>
    </xf>
    <xf numFmtId="0" fontId="17" fillId="46" borderId="0" xfId="0" applyFont="1" applyFill="1" applyAlignment="1">
      <alignment horizontal="center" vertical="center"/>
    </xf>
    <xf numFmtId="43" fontId="17" fillId="32" borderId="11" xfId="2" applyFont="1" applyFill="1" applyBorder="1" applyAlignment="1">
      <alignment horizontal="center" vertical="center"/>
    </xf>
    <xf numFmtId="0" fontId="17" fillId="32" borderId="0" xfId="0" applyFont="1" applyFill="1" applyAlignment="1">
      <alignment horizontal="center" vertical="center"/>
    </xf>
    <xf numFmtId="43" fontId="17" fillId="47" borderId="11" xfId="2" applyFont="1" applyFill="1" applyBorder="1" applyAlignment="1">
      <alignment horizontal="center" vertical="center"/>
    </xf>
    <xf numFmtId="0" fontId="17" fillId="47" borderId="0" xfId="0" applyFont="1" applyFill="1" applyAlignment="1">
      <alignment horizontal="center" vertical="center"/>
    </xf>
    <xf numFmtId="43" fontId="17" fillId="29" borderId="11" xfId="2" applyFont="1" applyFill="1" applyBorder="1" applyAlignment="1">
      <alignment horizontal="center" vertical="center"/>
    </xf>
    <xf numFmtId="0" fontId="17" fillId="29" borderId="0" xfId="0" applyFont="1" applyFill="1" applyAlignment="1">
      <alignment horizontal="center" vertical="center"/>
    </xf>
    <xf numFmtId="0" fontId="37" fillId="10" borderId="11" xfId="6" applyFill="1" applyBorder="1" applyAlignment="1">
      <alignment horizontal="center" vertical="center"/>
    </xf>
    <xf numFmtId="0" fontId="37" fillId="29" borderId="11" xfId="6" applyFill="1" applyBorder="1" applyAlignment="1">
      <alignment horizontal="center" vertical="center"/>
    </xf>
    <xf numFmtId="0" fontId="51" fillId="49" borderId="0" xfId="0" applyFont="1" applyFill="1"/>
    <xf numFmtId="0" fontId="52" fillId="49" borderId="0" xfId="0" applyFont="1" applyFill="1"/>
    <xf numFmtId="0" fontId="13" fillId="0" borderId="0" xfId="0" applyFont="1" applyFill="1"/>
    <xf numFmtId="0" fontId="13" fillId="49" borderId="0" xfId="0" applyFont="1" applyFill="1"/>
    <xf numFmtId="0" fontId="53" fillId="49" borderId="1" xfId="0" applyFont="1" applyFill="1" applyBorder="1"/>
    <xf numFmtId="0" fontId="52" fillId="49" borderId="11" xfId="0" applyFont="1" applyFill="1" applyBorder="1"/>
    <xf numFmtId="0" fontId="53" fillId="49" borderId="1" xfId="0" applyFont="1" applyFill="1" applyBorder="1" applyAlignment="1">
      <alignment horizontal="left"/>
    </xf>
    <xf numFmtId="164" fontId="52" fillId="49" borderId="1" xfId="0" applyNumberFormat="1" applyFont="1" applyFill="1" applyBorder="1" applyAlignment="1">
      <alignment horizontal="right" vertical="center"/>
    </xf>
    <xf numFmtId="164" fontId="52" fillId="49" borderId="1" xfId="2" applyNumberFormat="1" applyFont="1" applyFill="1" applyBorder="1" applyAlignment="1">
      <alignment horizontal="right" vertical="center"/>
    </xf>
    <xf numFmtId="165" fontId="52" fillId="49" borderId="11" xfId="0" applyNumberFormat="1" applyFont="1" applyFill="1" applyBorder="1"/>
    <xf numFmtId="0" fontId="53" fillId="49" borderId="30" xfId="0" applyFont="1" applyFill="1" applyBorder="1" applyAlignment="1">
      <alignment horizontal="left"/>
    </xf>
    <xf numFmtId="0" fontId="53" fillId="49" borderId="11" xfId="0" applyFont="1" applyFill="1" applyBorder="1" applyAlignment="1">
      <alignment horizontal="left"/>
    </xf>
    <xf numFmtId="164" fontId="52" fillId="49" borderId="0" xfId="0" applyNumberFormat="1" applyFont="1" applyFill="1" applyAlignment="1">
      <alignment horizontal="right" vertical="center"/>
    </xf>
    <xf numFmtId="0" fontId="0" fillId="49" borderId="11" xfId="0" applyFill="1" applyBorder="1"/>
    <xf numFmtId="164" fontId="53" fillId="49" borderId="56" xfId="0" applyNumberFormat="1" applyFont="1" applyFill="1" applyBorder="1" applyAlignment="1">
      <alignment horizontal="right" vertical="center"/>
    </xf>
    <xf numFmtId="164" fontId="53" fillId="49" borderId="1" xfId="0" applyNumberFormat="1" applyFont="1" applyFill="1" applyBorder="1" applyAlignment="1">
      <alignment horizontal="right" vertical="center"/>
    </xf>
    <xf numFmtId="0" fontId="53" fillId="49" borderId="0" xfId="0" applyFont="1" applyFill="1"/>
    <xf numFmtId="0" fontId="53" fillId="49" borderId="12" xfId="0" applyFont="1" applyFill="1" applyBorder="1"/>
    <xf numFmtId="164" fontId="52" fillId="49" borderId="1" xfId="0" applyNumberFormat="1" applyFont="1" applyFill="1" applyBorder="1" applyAlignment="1">
      <alignment vertical="center"/>
    </xf>
    <xf numFmtId="166" fontId="52" fillId="49" borderId="12" xfId="2" applyNumberFormat="1" applyFont="1" applyFill="1" applyBorder="1"/>
    <xf numFmtId="0" fontId="53" fillId="49" borderId="57" xfId="0" applyFont="1" applyFill="1" applyBorder="1" applyAlignment="1">
      <alignment horizontal="left"/>
    </xf>
    <xf numFmtId="164" fontId="52" fillId="49" borderId="30" xfId="0" applyNumberFormat="1" applyFont="1" applyFill="1" applyBorder="1" applyAlignment="1">
      <alignment vertical="center"/>
    </xf>
    <xf numFmtId="164" fontId="53" fillId="49" borderId="11" xfId="0" applyNumberFormat="1" applyFont="1" applyFill="1" applyBorder="1" applyAlignment="1">
      <alignment vertical="center"/>
    </xf>
    <xf numFmtId="166" fontId="53" fillId="49" borderId="12" xfId="2" applyNumberFormat="1" applyFont="1" applyFill="1" applyBorder="1"/>
    <xf numFmtId="0" fontId="52" fillId="0" borderId="0" xfId="0" applyFont="1" applyFill="1"/>
    <xf numFmtId="0" fontId="51" fillId="44" borderId="0" xfId="0" applyFont="1" applyFill="1"/>
    <xf numFmtId="0" fontId="52" fillId="44" borderId="0" xfId="0" applyFont="1" applyFill="1"/>
    <xf numFmtId="0" fontId="13" fillId="44" borderId="0" xfId="0" applyFont="1" applyFill="1"/>
    <xf numFmtId="0" fontId="53" fillId="44" borderId="1" xfId="0" applyFont="1" applyFill="1" applyBorder="1"/>
    <xf numFmtId="0" fontId="52" fillId="44" borderId="11" xfId="0" applyFont="1" applyFill="1" applyBorder="1"/>
    <xf numFmtId="0" fontId="53" fillId="44" borderId="1" xfId="0" applyFont="1" applyFill="1" applyBorder="1" applyAlignment="1">
      <alignment horizontal="left"/>
    </xf>
    <xf numFmtId="164" fontId="52" fillId="44" borderId="1" xfId="0" applyNumberFormat="1" applyFont="1" applyFill="1" applyBorder="1" applyAlignment="1">
      <alignment vertical="center"/>
    </xf>
    <xf numFmtId="164" fontId="52" fillId="44" borderId="1" xfId="2" applyNumberFormat="1" applyFont="1" applyFill="1" applyBorder="1" applyAlignment="1">
      <alignment vertical="center"/>
    </xf>
    <xf numFmtId="9" fontId="52" fillId="44" borderId="11" xfId="1" applyFont="1" applyFill="1" applyBorder="1"/>
    <xf numFmtId="0" fontId="53" fillId="44" borderId="30" xfId="0" applyFont="1" applyFill="1" applyBorder="1" applyAlignment="1">
      <alignment horizontal="left"/>
    </xf>
    <xf numFmtId="0" fontId="53" fillId="44" borderId="11" xfId="0" applyFont="1" applyFill="1" applyBorder="1" applyAlignment="1">
      <alignment horizontal="left"/>
    </xf>
    <xf numFmtId="164" fontId="52" fillId="44" borderId="0" xfId="0" applyNumberFormat="1" applyFont="1" applyFill="1" applyAlignment="1">
      <alignment vertical="center"/>
    </xf>
    <xf numFmtId="0" fontId="0" fillId="44" borderId="11" xfId="0" applyFill="1" applyBorder="1"/>
    <xf numFmtId="164" fontId="53" fillId="44" borderId="56" xfId="0" applyNumberFormat="1" applyFont="1" applyFill="1" applyBorder="1" applyAlignment="1">
      <alignment vertical="center"/>
    </xf>
    <xf numFmtId="164" fontId="53" fillId="44" borderId="1" xfId="0" applyNumberFormat="1" applyFont="1" applyFill="1" applyBorder="1" applyAlignment="1">
      <alignment vertical="center"/>
    </xf>
    <xf numFmtId="0" fontId="53" fillId="44" borderId="0" xfId="0" applyFont="1" applyFill="1"/>
    <xf numFmtId="0" fontId="53" fillId="44" borderId="12" xfId="0" applyFont="1" applyFill="1" applyBorder="1"/>
    <xf numFmtId="166" fontId="52" fillId="44" borderId="12" xfId="2" applyNumberFormat="1" applyFont="1" applyFill="1" applyBorder="1" applyAlignment="1">
      <alignment horizontal="center" vertical="center"/>
    </xf>
    <xf numFmtId="165" fontId="52" fillId="44" borderId="11" xfId="0" applyNumberFormat="1" applyFont="1" applyFill="1" applyBorder="1"/>
    <xf numFmtId="0" fontId="53" fillId="44" borderId="57" xfId="0" applyFont="1" applyFill="1" applyBorder="1" applyAlignment="1">
      <alignment horizontal="left"/>
    </xf>
    <xf numFmtId="164" fontId="52" fillId="44" borderId="30" xfId="0" applyNumberFormat="1" applyFont="1" applyFill="1" applyBorder="1" applyAlignment="1">
      <alignment vertical="center"/>
    </xf>
    <xf numFmtId="164" fontId="53" fillId="44" borderId="11" xfId="0" applyNumberFormat="1" applyFont="1" applyFill="1" applyBorder="1" applyAlignment="1">
      <alignment vertical="center"/>
    </xf>
    <xf numFmtId="166" fontId="53" fillId="44" borderId="12" xfId="2" applyNumberFormat="1" applyFont="1" applyFill="1" applyBorder="1" applyAlignment="1">
      <alignment horizontal="center" vertical="center"/>
    </xf>
    <xf numFmtId="0" fontId="51" fillId="46" borderId="0" xfId="0" applyFont="1" applyFill="1"/>
    <xf numFmtId="0" fontId="52" fillId="46" borderId="0" xfId="0" applyFont="1" applyFill="1"/>
    <xf numFmtId="0" fontId="13" fillId="46" borderId="0" xfId="0" applyFont="1" applyFill="1"/>
    <xf numFmtId="0" fontId="53" fillId="46" borderId="1" xfId="0" applyFont="1" applyFill="1" applyBorder="1"/>
    <xf numFmtId="0" fontId="52" fillId="46" borderId="11" xfId="0" applyFont="1" applyFill="1" applyBorder="1"/>
    <xf numFmtId="0" fontId="53" fillId="46" borderId="1" xfId="0" applyFont="1" applyFill="1" applyBorder="1" applyAlignment="1">
      <alignment horizontal="left"/>
    </xf>
    <xf numFmtId="164" fontId="52" fillId="46" borderId="1" xfId="0" applyNumberFormat="1" applyFont="1" applyFill="1" applyBorder="1" applyAlignment="1">
      <alignment horizontal="right" vertical="center"/>
    </xf>
    <xf numFmtId="164" fontId="52" fillId="46" borderId="1" xfId="2" applyNumberFormat="1" applyFont="1" applyFill="1" applyBorder="1" applyAlignment="1">
      <alignment horizontal="right" vertical="center"/>
    </xf>
    <xf numFmtId="165" fontId="52" fillId="46" borderId="11" xfId="0" applyNumberFormat="1" applyFont="1" applyFill="1" applyBorder="1"/>
    <xf numFmtId="0" fontId="53" fillId="46" borderId="30" xfId="0" applyFont="1" applyFill="1" applyBorder="1" applyAlignment="1">
      <alignment horizontal="left"/>
    </xf>
    <xf numFmtId="0" fontId="53" fillId="46" borderId="11" xfId="0" applyFont="1" applyFill="1" applyBorder="1" applyAlignment="1">
      <alignment horizontal="left"/>
    </xf>
    <xf numFmtId="0" fontId="0" fillId="46" borderId="11" xfId="0" applyFill="1" applyBorder="1"/>
    <xf numFmtId="164" fontId="53" fillId="46" borderId="56" xfId="0" applyNumberFormat="1" applyFont="1" applyFill="1" applyBorder="1" applyAlignment="1">
      <alignment horizontal="right" vertical="center"/>
    </xf>
    <xf numFmtId="164" fontId="53" fillId="46" borderId="1" xfId="0" applyNumberFormat="1" applyFont="1" applyFill="1" applyBorder="1" applyAlignment="1">
      <alignment horizontal="right" vertical="center"/>
    </xf>
    <xf numFmtId="0" fontId="53" fillId="46" borderId="0" xfId="0" applyFont="1" applyFill="1"/>
    <xf numFmtId="0" fontId="53" fillId="46" borderId="12" xfId="0" applyFont="1" applyFill="1" applyBorder="1"/>
    <xf numFmtId="164" fontId="52" fillId="46" borderId="1" xfId="0" applyNumberFormat="1" applyFont="1" applyFill="1" applyBorder="1" applyAlignment="1">
      <alignment vertical="center"/>
    </xf>
    <xf numFmtId="166" fontId="52" fillId="46" borderId="12" xfId="2" applyNumberFormat="1" applyFont="1" applyFill="1" applyBorder="1" applyAlignment="1">
      <alignment horizontal="center" vertical="center"/>
    </xf>
    <xf numFmtId="0" fontId="53" fillId="46" borderId="57" xfId="0" applyFont="1" applyFill="1" applyBorder="1" applyAlignment="1">
      <alignment horizontal="left"/>
    </xf>
    <xf numFmtId="164" fontId="53" fillId="46" borderId="11" xfId="0" applyNumberFormat="1" applyFont="1" applyFill="1" applyBorder="1" applyAlignment="1">
      <alignment vertical="center"/>
    </xf>
    <xf numFmtId="166" fontId="53" fillId="46" borderId="12" xfId="2" applyNumberFormat="1" applyFont="1" applyFill="1" applyBorder="1" applyAlignment="1">
      <alignment horizontal="center" vertical="center"/>
    </xf>
    <xf numFmtId="0" fontId="0" fillId="9" borderId="11" xfId="0" applyFill="1" applyBorder="1" applyAlignment="1">
      <alignment horizontal="center" vertical="center" wrapText="1"/>
    </xf>
    <xf numFmtId="0" fontId="0" fillId="10" borderId="11" xfId="0" applyFill="1" applyBorder="1" applyAlignment="1">
      <alignment horizontal="center" vertical="center"/>
    </xf>
    <xf numFmtId="0" fontId="0" fillId="9" borderId="11" xfId="0" applyFill="1" applyBorder="1" applyAlignment="1">
      <alignment horizontal="center" vertical="center"/>
    </xf>
    <xf numFmtId="0" fontId="37" fillId="0" borderId="11" xfId="6" applyBorder="1" applyAlignment="1">
      <alignment horizontal="center" vertical="center"/>
    </xf>
    <xf numFmtId="0" fontId="0" fillId="38" borderId="11" xfId="0" applyFill="1" applyBorder="1"/>
    <xf numFmtId="1" fontId="17" fillId="0" borderId="11" xfId="0" applyNumberFormat="1" applyFont="1" applyFill="1" applyBorder="1" applyAlignment="1">
      <alignment horizontal="center" vertical="center"/>
    </xf>
    <xf numFmtId="43" fontId="17" fillId="0" borderId="11" xfId="2" applyFont="1" applyFill="1" applyBorder="1" applyAlignment="1">
      <alignment horizontal="center" vertical="center"/>
    </xf>
    <xf numFmtId="1" fontId="17" fillId="30" borderId="11" xfId="0" applyNumberFormat="1" applyFont="1" applyFill="1" applyBorder="1" applyAlignment="1">
      <alignment horizontal="center" vertical="center"/>
    </xf>
    <xf numFmtId="1" fontId="17" fillId="47" borderId="11" xfId="0" applyNumberFormat="1" applyFont="1" applyFill="1" applyBorder="1" applyAlignment="1">
      <alignment horizontal="center" vertical="center"/>
    </xf>
    <xf numFmtId="0" fontId="37" fillId="28" borderId="0" xfId="6" applyFill="1" applyAlignment="1">
      <alignment horizontal="center" vertical="center"/>
    </xf>
    <xf numFmtId="164" fontId="16" fillId="28" borderId="1" xfId="0" applyNumberFormat="1" applyFont="1" applyFill="1" applyBorder="1" applyAlignment="1">
      <alignment horizontal="center" vertical="center"/>
    </xf>
    <xf numFmtId="0" fontId="17" fillId="47" borderId="1" xfId="0" applyFont="1" applyFill="1" applyBorder="1" applyAlignment="1">
      <alignment horizontal="center" vertical="center"/>
    </xf>
    <xf numFmtId="164" fontId="17" fillId="47" borderId="1" xfId="0" applyNumberFormat="1" applyFont="1" applyFill="1" applyBorder="1" applyAlignment="1">
      <alignment horizontal="center" vertical="center"/>
    </xf>
    <xf numFmtId="166" fontId="17" fillId="47" borderId="1" xfId="2" applyNumberFormat="1" applyFont="1" applyFill="1" applyBorder="1" applyAlignment="1">
      <alignment horizontal="center" vertical="center"/>
    </xf>
    <xf numFmtId="168" fontId="17" fillId="47" borderId="1" xfId="2" applyNumberFormat="1" applyFont="1" applyFill="1" applyBorder="1" applyAlignment="1">
      <alignment horizontal="center" vertical="center"/>
    </xf>
    <xf numFmtId="43" fontId="17" fillId="47" borderId="1" xfId="2" applyFont="1" applyFill="1" applyBorder="1" applyAlignment="1">
      <alignment horizontal="center" vertical="center"/>
    </xf>
    <xf numFmtId="0" fontId="17" fillId="47" borderId="12" xfId="0" applyFont="1" applyFill="1" applyBorder="1" applyAlignment="1">
      <alignment horizontal="center" vertical="center"/>
    </xf>
    <xf numFmtId="1" fontId="17" fillId="47" borderId="12" xfId="0" applyNumberFormat="1" applyFont="1" applyFill="1" applyBorder="1" applyAlignment="1">
      <alignment horizontal="center" vertical="center"/>
    </xf>
    <xf numFmtId="1" fontId="17" fillId="47" borderId="11" xfId="2" applyNumberFormat="1" applyFont="1" applyFill="1" applyBorder="1" applyAlignment="1">
      <alignment horizontal="center" vertical="center"/>
    </xf>
    <xf numFmtId="0" fontId="17" fillId="47" borderId="11" xfId="0" applyFont="1" applyFill="1" applyBorder="1" applyAlignment="1">
      <alignment horizontal="center" vertical="center"/>
    </xf>
    <xf numFmtId="173" fontId="17" fillId="47" borderId="1" xfId="2" applyNumberFormat="1" applyFont="1" applyFill="1" applyBorder="1" applyAlignment="1">
      <alignment horizontal="center" vertical="center"/>
    </xf>
    <xf numFmtId="0" fontId="37" fillId="6" borderId="1" xfId="6" applyFill="1" applyBorder="1" applyAlignment="1">
      <alignment horizontal="center" vertical="center"/>
    </xf>
    <xf numFmtId="0" fontId="37" fillId="10" borderId="1" xfId="6" applyFill="1" applyBorder="1" applyAlignment="1">
      <alignment horizontal="center" vertical="center"/>
    </xf>
    <xf numFmtId="0" fontId="37" fillId="31" borderId="1" xfId="6" applyFill="1" applyBorder="1" applyAlignment="1">
      <alignment horizontal="center" vertical="center"/>
    </xf>
    <xf numFmtId="0" fontId="37" fillId="31" borderId="11" xfId="6" applyFill="1" applyBorder="1" applyAlignment="1">
      <alignment horizontal="center" vertical="center"/>
    </xf>
    <xf numFmtId="0" fontId="37" fillId="38" borderId="1" xfId="6" applyFill="1" applyBorder="1" applyAlignment="1">
      <alignment horizontal="center" vertical="center"/>
    </xf>
    <xf numFmtId="0" fontId="37" fillId="47" borderId="1" xfId="6" applyFill="1" applyBorder="1" applyAlignment="1">
      <alignment horizontal="center" vertical="center"/>
    </xf>
    <xf numFmtId="0" fontId="47" fillId="25" borderId="1" xfId="6" applyFont="1" applyFill="1" applyBorder="1" applyAlignment="1">
      <alignment horizontal="center" vertical="center"/>
    </xf>
    <xf numFmtId="0" fontId="37" fillId="0" borderId="1" xfId="6" applyBorder="1" applyAlignment="1">
      <alignment horizontal="center" vertical="center"/>
    </xf>
    <xf numFmtId="0" fontId="37" fillId="30" borderId="1" xfId="6" applyFill="1" applyBorder="1" applyAlignment="1">
      <alignment horizontal="center" vertical="center"/>
    </xf>
    <xf numFmtId="0" fontId="37" fillId="8" borderId="1" xfId="6" applyFill="1" applyBorder="1" applyAlignment="1">
      <alignment horizontal="center" vertical="center"/>
    </xf>
    <xf numFmtId="0" fontId="37" fillId="28" borderId="11" xfId="6" applyFill="1" applyBorder="1" applyAlignment="1">
      <alignment horizontal="center" vertical="center"/>
    </xf>
    <xf numFmtId="0" fontId="47" fillId="29" borderId="1" xfId="6" applyFont="1" applyFill="1" applyBorder="1" applyAlignment="1">
      <alignment horizontal="center" vertical="center"/>
    </xf>
    <xf numFmtId="0" fontId="47" fillId="29" borderId="11" xfId="6" applyFont="1" applyFill="1" applyBorder="1" applyAlignment="1">
      <alignment horizontal="center" vertical="center"/>
    </xf>
    <xf numFmtId="0" fontId="47" fillId="29" borderId="30" xfId="6" applyFont="1" applyFill="1" applyBorder="1" applyAlignment="1">
      <alignment horizontal="center" vertical="center"/>
    </xf>
    <xf numFmtId="0" fontId="37" fillId="25" borderId="11" xfId="6" applyFill="1" applyBorder="1" applyAlignment="1">
      <alignment horizontal="center" vertical="center"/>
    </xf>
    <xf numFmtId="0" fontId="37" fillId="8" borderId="11" xfId="6" applyFill="1" applyBorder="1" applyAlignment="1">
      <alignment horizontal="center" vertical="center"/>
    </xf>
    <xf numFmtId="0" fontId="16" fillId="0" borderId="0" xfId="0" applyFont="1" applyAlignment="1">
      <alignment horizontal="center" vertical="center"/>
    </xf>
    <xf numFmtId="0" fontId="37" fillId="25" borderId="1" xfId="6" applyFill="1" applyBorder="1" applyAlignment="1">
      <alignment horizontal="center" vertical="center"/>
    </xf>
    <xf numFmtId="0" fontId="37" fillId="6" borderId="0" xfId="6" applyFill="1" applyAlignment="1">
      <alignment horizontal="center" vertical="center"/>
    </xf>
    <xf numFmtId="164" fontId="49" fillId="6" borderId="0" xfId="0" applyNumberFormat="1" applyFont="1" applyFill="1" applyAlignment="1">
      <alignment vertical="justify"/>
    </xf>
    <xf numFmtId="164" fontId="17" fillId="6" borderId="0" xfId="0" applyNumberFormat="1" applyFont="1" applyFill="1" applyAlignment="1">
      <alignment vertical="justify"/>
    </xf>
    <xf numFmtId="168" fontId="17" fillId="6" borderId="0" xfId="0" applyNumberFormat="1" applyFont="1" applyFill="1" applyAlignment="1">
      <alignment vertical="justify"/>
    </xf>
    <xf numFmtId="164" fontId="49" fillId="38" borderId="0" xfId="0" applyNumberFormat="1" applyFont="1" applyFill="1" applyAlignment="1">
      <alignment vertical="justify"/>
    </xf>
    <xf numFmtId="164" fontId="17" fillId="38" borderId="0" xfId="0" applyNumberFormat="1" applyFont="1" applyFill="1" applyAlignment="1">
      <alignment vertical="justify"/>
    </xf>
    <xf numFmtId="168" fontId="17" fillId="38" borderId="0" xfId="0" applyNumberFormat="1" applyFont="1" applyFill="1" applyAlignment="1">
      <alignment vertical="justify"/>
    </xf>
    <xf numFmtId="164" fontId="49" fillId="10" borderId="0" xfId="0" applyNumberFormat="1" applyFont="1" applyFill="1" applyAlignment="1">
      <alignment vertical="justify"/>
    </xf>
    <xf numFmtId="164" fontId="17" fillId="10" borderId="0" xfId="0" applyNumberFormat="1" applyFont="1" applyFill="1" applyAlignment="1">
      <alignment vertical="justify"/>
    </xf>
    <xf numFmtId="168" fontId="17" fillId="10" borderId="0" xfId="0" applyNumberFormat="1" applyFont="1" applyFill="1" applyAlignment="1">
      <alignment vertical="justify"/>
    </xf>
    <xf numFmtId="164" fontId="49" fillId="25" borderId="0" xfId="0" applyNumberFormat="1" applyFont="1" applyFill="1" applyAlignment="1">
      <alignment vertical="justify"/>
    </xf>
    <xf numFmtId="164" fontId="17" fillId="25" borderId="0" xfId="0" applyNumberFormat="1" applyFont="1" applyFill="1" applyAlignment="1">
      <alignment vertical="justify"/>
    </xf>
    <xf numFmtId="168" fontId="17" fillId="25" borderId="0" xfId="0" applyNumberFormat="1" applyFont="1" applyFill="1" applyAlignment="1">
      <alignment vertical="justify"/>
    </xf>
    <xf numFmtId="164" fontId="49" fillId="8" borderId="0" xfId="0" applyNumberFormat="1" applyFont="1" applyFill="1" applyAlignment="1">
      <alignment vertical="justify"/>
    </xf>
    <xf numFmtId="164" fontId="17" fillId="8" borderId="0" xfId="0" applyNumberFormat="1" applyFont="1" applyFill="1" applyAlignment="1">
      <alignment vertical="justify"/>
    </xf>
    <xf numFmtId="168" fontId="17" fillId="8" borderId="0" xfId="0" applyNumberFormat="1" applyFont="1" applyFill="1" applyAlignment="1">
      <alignment vertical="justify"/>
    </xf>
    <xf numFmtId="164" fontId="49" fillId="32" borderId="0" xfId="0" applyNumberFormat="1" applyFont="1" applyFill="1" applyAlignment="1">
      <alignment vertical="justify"/>
    </xf>
    <xf numFmtId="164" fontId="17" fillId="32" borderId="0" xfId="0" applyNumberFormat="1" applyFont="1" applyFill="1" applyAlignment="1">
      <alignment vertical="justify"/>
    </xf>
    <xf numFmtId="168" fontId="17" fillId="32" borderId="0" xfId="0" applyNumberFormat="1" applyFont="1" applyFill="1" applyAlignment="1">
      <alignment vertical="justify"/>
    </xf>
    <xf numFmtId="0" fontId="17" fillId="19" borderId="0" xfId="0" applyFont="1" applyFill="1" applyAlignment="1">
      <alignment vertical="justify"/>
    </xf>
    <xf numFmtId="164" fontId="49" fillId="19" borderId="0" xfId="0" applyNumberFormat="1" applyFont="1" applyFill="1" applyAlignment="1">
      <alignment vertical="justify"/>
    </xf>
    <xf numFmtId="164" fontId="17" fillId="19" borderId="0" xfId="0" applyNumberFormat="1" applyFont="1" applyFill="1" applyAlignment="1">
      <alignment vertical="justify"/>
    </xf>
    <xf numFmtId="168" fontId="17" fillId="19" borderId="0" xfId="0" applyNumberFormat="1" applyFont="1" applyFill="1" applyAlignment="1">
      <alignment vertical="justify"/>
    </xf>
    <xf numFmtId="164" fontId="49" fillId="31" borderId="0" xfId="0" applyNumberFormat="1" applyFont="1" applyFill="1" applyAlignment="1">
      <alignment vertical="justify"/>
    </xf>
    <xf numFmtId="164" fontId="17" fillId="31" borderId="0" xfId="0" applyNumberFormat="1" applyFont="1" applyFill="1" applyAlignment="1">
      <alignment vertical="justify"/>
    </xf>
    <xf numFmtId="168" fontId="17" fillId="31" borderId="0" xfId="0" applyNumberFormat="1" applyFont="1" applyFill="1" applyAlignment="1">
      <alignment vertical="justify"/>
    </xf>
    <xf numFmtId="164" fontId="49" fillId="29" borderId="0" xfId="0" applyNumberFormat="1" applyFont="1" applyFill="1" applyAlignment="1">
      <alignment vertical="justify"/>
    </xf>
    <xf numFmtId="164" fontId="17" fillId="29" borderId="0" xfId="0" applyNumberFormat="1" applyFont="1" applyFill="1" applyAlignment="1">
      <alignment vertical="justify"/>
    </xf>
    <xf numFmtId="168" fontId="17" fillId="29" borderId="0" xfId="0" applyNumberFormat="1" applyFont="1" applyFill="1" applyAlignment="1">
      <alignment vertical="justify"/>
    </xf>
    <xf numFmtId="0" fontId="4" fillId="0" borderId="0" xfId="0" applyFont="1" applyAlignment="1">
      <alignment horizontal="center"/>
    </xf>
    <xf numFmtId="0" fontId="0" fillId="13" borderId="11" xfId="0" applyFill="1" applyBorder="1" applyAlignment="1">
      <alignment horizontal="center" vertical="center"/>
    </xf>
    <xf numFmtId="0" fontId="0" fillId="12" borderId="11" xfId="0" applyFill="1" applyBorder="1" applyAlignment="1">
      <alignment horizontal="center" vertical="center"/>
    </xf>
    <xf numFmtId="0" fontId="17" fillId="40" borderId="11" xfId="0" applyFont="1" applyFill="1" applyBorder="1" applyAlignment="1">
      <alignment horizontal="center" vertical="center"/>
    </xf>
    <xf numFmtId="0" fontId="0" fillId="50" borderId="11" xfId="0" applyFill="1" applyBorder="1" applyAlignment="1">
      <alignment horizontal="center" vertical="center"/>
    </xf>
    <xf numFmtId="0" fontId="5" fillId="0" borderId="11" xfId="0" applyFont="1" applyBorder="1" applyAlignment="1">
      <alignment horizontal="center" vertical="center"/>
    </xf>
    <xf numFmtId="0" fontId="0" fillId="0" borderId="0" xfId="0" applyAlignment="1">
      <alignment horizontal="center"/>
    </xf>
    <xf numFmtId="0" fontId="9" fillId="0" borderId="7" xfId="0" applyFont="1" applyBorder="1" applyAlignment="1">
      <alignment horizontal="center"/>
    </xf>
    <xf numFmtId="0" fontId="9" fillId="0" borderId="8" xfId="0" applyFont="1" applyBorder="1" applyAlignment="1">
      <alignment horizontal="center"/>
    </xf>
    <xf numFmtId="0" fontId="9" fillId="0" borderId="9" xfId="0" applyFont="1" applyBorder="1" applyAlignment="1">
      <alignment horizontal="center"/>
    </xf>
    <xf numFmtId="0" fontId="20" fillId="6" borderId="19" xfId="5" applyFont="1" applyFill="1" applyBorder="1" applyAlignment="1">
      <alignment horizontal="center"/>
    </xf>
    <xf numFmtId="0" fontId="3" fillId="0" borderId="11" xfId="0" applyFont="1" applyFill="1" applyBorder="1" applyAlignment="1">
      <alignment horizontal="center" wrapText="1"/>
    </xf>
    <xf numFmtId="0" fontId="37" fillId="0" borderId="0" xfId="6" applyAlignment="1">
      <alignment horizontal="center"/>
    </xf>
    <xf numFmtId="0" fontId="5" fillId="38" borderId="22" xfId="0" applyFont="1" applyFill="1" applyBorder="1" applyAlignment="1">
      <alignment horizontal="center" vertical="center"/>
    </xf>
    <xf numFmtId="0" fontId="5" fillId="38" borderId="26" xfId="0" applyFont="1" applyFill="1" applyBorder="1" applyAlignment="1">
      <alignment horizontal="center" vertical="center"/>
    </xf>
    <xf numFmtId="0" fontId="5" fillId="38" borderId="27" xfId="0" applyFont="1" applyFill="1" applyBorder="1" applyAlignment="1">
      <alignment horizontal="center" vertical="center"/>
    </xf>
    <xf numFmtId="0" fontId="0" fillId="6" borderId="22" xfId="0" applyFill="1" applyBorder="1" applyAlignment="1">
      <alignment horizontal="center" vertical="center"/>
    </xf>
    <xf numFmtId="0" fontId="0" fillId="6" borderId="27" xfId="0" applyFill="1" applyBorder="1" applyAlignment="1">
      <alignment horizontal="center" vertical="center"/>
    </xf>
    <xf numFmtId="0" fontId="0" fillId="6" borderId="11" xfId="0" applyFill="1" applyBorder="1" applyAlignment="1">
      <alignment horizontal="center"/>
    </xf>
    <xf numFmtId="0" fontId="5" fillId="0" borderId="18" xfId="0" applyFont="1" applyBorder="1" applyAlignment="1">
      <alignment horizontal="center" vertical="center"/>
    </xf>
    <xf numFmtId="0" fontId="5" fillId="0" borderId="15" xfId="0" applyFont="1" applyBorder="1" applyAlignment="1">
      <alignment horizontal="center" vertical="center"/>
    </xf>
    <xf numFmtId="0" fontId="5" fillId="0" borderId="20" xfId="0" applyFont="1" applyBorder="1" applyAlignment="1">
      <alignment horizontal="center" vertical="center"/>
    </xf>
    <xf numFmtId="0" fontId="52" fillId="49" borderId="0" xfId="0" applyFont="1" applyFill="1" applyAlignment="1">
      <alignment horizontal="center"/>
    </xf>
    <xf numFmtId="0" fontId="52" fillId="44" borderId="0" xfId="0" applyFont="1" applyFill="1" applyAlignment="1">
      <alignment horizontal="center"/>
    </xf>
    <xf numFmtId="0" fontId="52" fillId="46" borderId="0" xfId="0" applyFont="1" applyFill="1" applyAlignment="1">
      <alignment horizontal="center"/>
    </xf>
    <xf numFmtId="165" fontId="17" fillId="0" borderId="11" xfId="1" applyNumberFormat="1" applyFont="1" applyBorder="1" applyAlignment="1">
      <alignment horizontal="right" vertical="center"/>
    </xf>
    <xf numFmtId="3" fontId="12" fillId="19" borderId="11" xfId="0" applyNumberFormat="1" applyFont="1" applyFill="1" applyBorder="1" applyAlignment="1">
      <alignment horizontal="right" vertical="center"/>
    </xf>
    <xf numFmtId="0" fontId="12" fillId="19" borderId="11" xfId="0" applyFont="1" applyFill="1" applyBorder="1" applyAlignment="1">
      <alignment horizontal="right" vertical="center"/>
    </xf>
    <xf numFmtId="3" fontId="12" fillId="20" borderId="11" xfId="0" applyNumberFormat="1" applyFont="1" applyFill="1" applyBorder="1" applyAlignment="1">
      <alignment horizontal="right" vertical="center"/>
    </xf>
    <xf numFmtId="0" fontId="12" fillId="20" borderId="11" xfId="0" applyFont="1" applyFill="1" applyBorder="1" applyAlignment="1">
      <alignment horizontal="right" vertical="center"/>
    </xf>
    <xf numFmtId="164" fontId="3" fillId="0" borderId="11" xfId="0" applyNumberFormat="1" applyFont="1" applyBorder="1" applyAlignment="1">
      <alignment horizontal="right" vertical="center"/>
    </xf>
    <xf numFmtId="168" fontId="3" fillId="0" borderId="11" xfId="0" applyNumberFormat="1" applyFont="1" applyBorder="1" applyAlignment="1">
      <alignment horizontal="right" vertical="center"/>
    </xf>
    <xf numFmtId="168" fontId="3" fillId="0" borderId="11" xfId="2" applyNumberFormat="1" applyFont="1" applyBorder="1" applyAlignment="1">
      <alignment horizontal="right" vertical="center"/>
    </xf>
    <xf numFmtId="0" fontId="37" fillId="0" borderId="11" xfId="6" applyBorder="1" applyAlignment="1">
      <alignment horizontal="left"/>
    </xf>
    <xf numFmtId="173" fontId="12" fillId="18" borderId="11" xfId="0" applyNumberFormat="1" applyFont="1" applyFill="1" applyBorder="1" applyAlignment="1">
      <alignment horizontal="right" vertical="center"/>
    </xf>
    <xf numFmtId="0" fontId="37" fillId="0" borderId="41" xfId="6" applyBorder="1" applyAlignment="1">
      <alignment horizontal="left"/>
    </xf>
    <xf numFmtId="0" fontId="5" fillId="0" borderId="22" xfId="0" applyFont="1" applyBorder="1" applyAlignment="1">
      <alignment horizontal="center" vertical="center"/>
    </xf>
    <xf numFmtId="0" fontId="5" fillId="0" borderId="27" xfId="0" applyFont="1" applyBorder="1" applyAlignment="1">
      <alignment horizontal="center" vertical="center"/>
    </xf>
    <xf numFmtId="0" fontId="0" fillId="0" borderId="11" xfId="0" applyBorder="1" applyAlignment="1">
      <alignment horizontal="right" vertical="center"/>
    </xf>
    <xf numFmtId="0" fontId="24" fillId="0" borderId="11" xfId="0" applyFont="1" applyBorder="1" applyAlignment="1">
      <alignment horizontal="left" vertical="center" wrapText="1"/>
    </xf>
    <xf numFmtId="0" fontId="24" fillId="0" borderId="11" xfId="0" applyFont="1" applyBorder="1" applyAlignment="1">
      <alignment horizontal="left" vertical="center"/>
    </xf>
    <xf numFmtId="0" fontId="4" fillId="0" borderId="0" xfId="0" applyFont="1" applyAlignment="1">
      <alignment horizontal="center"/>
    </xf>
    <xf numFmtId="0" fontId="16" fillId="0" borderId="11" xfId="0" applyFont="1" applyBorder="1" applyAlignment="1">
      <alignment horizontal="center" vertical="center"/>
    </xf>
    <xf numFmtId="0" fontId="17" fillId="0" borderId="11" xfId="0" applyFont="1" applyBorder="1" applyAlignment="1">
      <alignment horizontal="right" vertical="center"/>
    </xf>
    <xf numFmtId="164" fontId="17" fillId="0" borderId="11" xfId="0" applyNumberFormat="1" applyFont="1" applyBorder="1" applyAlignment="1">
      <alignment horizontal="right" vertical="center"/>
    </xf>
    <xf numFmtId="0" fontId="0" fillId="0" borderId="22"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13" fillId="0" borderId="11" xfId="0" applyFont="1" applyBorder="1" applyAlignment="1">
      <alignment horizontal="center"/>
    </xf>
    <xf numFmtId="0" fontId="0" fillId="9" borderId="11" xfId="0" applyFill="1" applyBorder="1" applyAlignment="1">
      <alignment horizontal="left"/>
    </xf>
    <xf numFmtId="0" fontId="0" fillId="21" borderId="11" xfId="0" applyFill="1" applyBorder="1" applyAlignment="1">
      <alignment horizontal="left"/>
    </xf>
    <xf numFmtId="0" fontId="14" fillId="0" borderId="11" xfId="0" applyFont="1" applyBorder="1" applyAlignment="1">
      <alignment horizontal="center"/>
    </xf>
    <xf numFmtId="0" fontId="9" fillId="0" borderId="11" xfId="0" applyFont="1" applyBorder="1" applyAlignment="1">
      <alignment horizontal="left" vertical="center"/>
    </xf>
    <xf numFmtId="3" fontId="36" fillId="19" borderId="11" xfId="0" applyNumberFormat="1" applyFont="1" applyFill="1" applyBorder="1" applyAlignment="1">
      <alignment horizontal="right" vertical="center"/>
    </xf>
    <xf numFmtId="0" fontId="36" fillId="19" borderId="11" xfId="0" applyFont="1" applyFill="1" applyBorder="1" applyAlignment="1">
      <alignment horizontal="right" vertical="center"/>
    </xf>
    <xf numFmtId="3" fontId="36" fillId="20" borderId="11" xfId="0" applyNumberFormat="1" applyFont="1" applyFill="1" applyBorder="1" applyAlignment="1">
      <alignment horizontal="right" vertical="center"/>
    </xf>
    <xf numFmtId="0" fontId="36" fillId="20" borderId="11" xfId="0" applyFont="1" applyFill="1" applyBorder="1" applyAlignment="1">
      <alignment horizontal="right" vertical="center"/>
    </xf>
    <xf numFmtId="173" fontId="29" fillId="18" borderId="11" xfId="1" applyNumberFormat="1" applyFont="1" applyFill="1" applyBorder="1" applyAlignment="1">
      <alignment horizontal="right" vertical="center"/>
    </xf>
    <xf numFmtId="0" fontId="3" fillId="0" borderId="11" xfId="0" applyNumberFormat="1" applyFont="1" applyBorder="1" applyAlignment="1">
      <alignment horizontal="right" vertical="center"/>
    </xf>
    <xf numFmtId="0" fontId="3" fillId="0" borderId="11" xfId="0" applyFont="1" applyBorder="1" applyAlignment="1">
      <alignment horizontal="right" vertical="center"/>
    </xf>
    <xf numFmtId="164" fontId="36" fillId="20" borderId="11" xfId="0" applyNumberFormat="1" applyFont="1" applyFill="1" applyBorder="1" applyAlignment="1">
      <alignment horizontal="right" vertical="center"/>
    </xf>
    <xf numFmtId="0" fontId="0" fillId="0" borderId="11" xfId="0" applyBorder="1" applyAlignment="1">
      <alignment horizontal="left"/>
    </xf>
    <xf numFmtId="0" fontId="24" fillId="0" borderId="22" xfId="0" applyFont="1" applyBorder="1" applyAlignment="1">
      <alignment horizontal="left" vertical="top" wrapText="1"/>
    </xf>
    <xf numFmtId="0" fontId="24" fillId="0" borderId="26" xfId="0" applyFont="1" applyBorder="1" applyAlignment="1">
      <alignment horizontal="left" vertical="top"/>
    </xf>
    <xf numFmtId="0" fontId="24" fillId="0" borderId="27" xfId="0" applyFont="1" applyBorder="1" applyAlignment="1">
      <alignment horizontal="left" vertical="top"/>
    </xf>
    <xf numFmtId="173" fontId="29" fillId="8" borderId="11" xfId="1" applyNumberFormat="1" applyFont="1" applyFill="1" applyBorder="1" applyAlignment="1">
      <alignment horizontal="right" vertical="center"/>
    </xf>
    <xf numFmtId="165" fontId="3" fillId="0" borderId="11" xfId="1" applyNumberFormat="1" applyFont="1" applyBorder="1" applyAlignment="1">
      <alignment horizontal="right" vertical="center"/>
    </xf>
    <xf numFmtId="0" fontId="28" fillId="0" borderId="11" xfId="0" applyFont="1" applyBorder="1" applyAlignment="1">
      <alignment horizontal="left" vertical="center"/>
    </xf>
    <xf numFmtId="0" fontId="0" fillId="0" borderId="26" xfId="0" applyBorder="1" applyAlignment="1">
      <alignment horizontal="right" vertical="center"/>
    </xf>
    <xf numFmtId="173" fontId="29" fillId="18" borderId="11" xfId="0" applyNumberFormat="1" applyFont="1" applyFill="1" applyBorder="1" applyAlignment="1">
      <alignment horizontal="right" vertical="center"/>
    </xf>
    <xf numFmtId="165" fontId="17" fillId="0" borderId="22" xfId="1" applyNumberFormat="1" applyFont="1" applyBorder="1" applyAlignment="1">
      <alignment horizontal="right" vertical="center"/>
    </xf>
    <xf numFmtId="165" fontId="17" fillId="0" borderId="26" xfId="1" applyNumberFormat="1" applyFont="1" applyBorder="1" applyAlignment="1">
      <alignment horizontal="right" vertical="center"/>
    </xf>
    <xf numFmtId="165" fontId="17" fillId="0" borderId="27" xfId="1" applyNumberFormat="1" applyFont="1" applyBorder="1" applyAlignment="1">
      <alignment horizontal="right" vertical="center"/>
    </xf>
    <xf numFmtId="0" fontId="4" fillId="0" borderId="0" xfId="0" applyFont="1" applyAlignment="1">
      <alignment horizontal="center" vertical="center"/>
    </xf>
    <xf numFmtId="0" fontId="8" fillId="0" borderId="11" xfId="0" applyFont="1" applyBorder="1" applyAlignment="1">
      <alignment horizontal="left" vertical="center"/>
    </xf>
    <xf numFmtId="0" fontId="8" fillId="0" borderId="11" xfId="0" applyFont="1" applyBorder="1" applyAlignment="1">
      <alignment horizontal="left" vertical="center" wrapText="1"/>
    </xf>
    <xf numFmtId="0" fontId="5" fillId="0" borderId="26" xfId="0" applyFont="1" applyBorder="1" applyAlignment="1">
      <alignment horizontal="center" vertical="center"/>
    </xf>
    <xf numFmtId="0" fontId="0" fillId="0" borderId="11" xfId="0" applyBorder="1" applyAlignment="1">
      <alignment horizontal="left" vertical="center" wrapText="1"/>
    </xf>
    <xf numFmtId="0" fontId="0" fillId="0" borderId="58" xfId="0" applyBorder="1" applyAlignment="1">
      <alignment horizontal="left" vertical="center" wrapText="1"/>
    </xf>
    <xf numFmtId="0" fontId="0" fillId="0" borderId="41" xfId="0"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19" xfId="0" applyBorder="1" applyAlignment="1">
      <alignment horizontal="left" vertical="center" wrapText="1"/>
    </xf>
    <xf numFmtId="0" fontId="0" fillId="0" borderId="61" xfId="0" applyBorder="1" applyAlignment="1">
      <alignment horizontal="left" vertical="center" wrapText="1"/>
    </xf>
    <xf numFmtId="0" fontId="0" fillId="0" borderId="41" xfId="0" applyBorder="1" applyAlignment="1">
      <alignment horizontal="center" vertical="center" wrapText="1"/>
    </xf>
    <xf numFmtId="0" fontId="0" fillId="0" borderId="0" xfId="0" applyBorder="1" applyAlignment="1">
      <alignment horizontal="center" vertical="center" wrapText="1"/>
    </xf>
    <xf numFmtId="173" fontId="12" fillId="18" borderId="11" xfId="2" applyNumberFormat="1" applyFont="1" applyFill="1" applyBorder="1" applyAlignment="1">
      <alignment horizontal="right" vertical="center"/>
    </xf>
    <xf numFmtId="0" fontId="3" fillId="0" borderId="22" xfId="0" applyFont="1" applyBorder="1" applyAlignment="1">
      <alignment horizontal="right" vertical="center" wrapText="1"/>
    </xf>
    <xf numFmtId="0" fontId="3" fillId="0" borderId="26" xfId="0" applyFont="1" applyBorder="1" applyAlignment="1">
      <alignment horizontal="right" vertical="center" wrapText="1"/>
    </xf>
    <xf numFmtId="0" fontId="3" fillId="0" borderId="27" xfId="0" applyFont="1" applyBorder="1" applyAlignment="1">
      <alignment horizontal="right" vertical="center" wrapText="1"/>
    </xf>
    <xf numFmtId="0" fontId="3" fillId="0" borderId="22" xfId="0" applyFont="1" applyBorder="1" applyAlignment="1">
      <alignment horizontal="right" vertical="center"/>
    </xf>
    <xf numFmtId="0" fontId="3" fillId="0" borderId="26" xfId="0" applyFont="1" applyBorder="1" applyAlignment="1">
      <alignment horizontal="right" vertical="center"/>
    </xf>
    <xf numFmtId="0" fontId="3" fillId="0" borderId="27" xfId="0" applyFont="1" applyBorder="1" applyAlignment="1">
      <alignment horizontal="right" vertical="center"/>
    </xf>
    <xf numFmtId="164" fontId="3" fillId="0" borderId="22" xfId="0" applyNumberFormat="1" applyFont="1" applyBorder="1" applyAlignment="1">
      <alignment horizontal="right" vertical="center"/>
    </xf>
    <xf numFmtId="164" fontId="3" fillId="0" borderId="26" xfId="0" applyNumberFormat="1" applyFont="1" applyBorder="1" applyAlignment="1">
      <alignment horizontal="right" vertical="center"/>
    </xf>
    <xf numFmtId="164" fontId="3" fillId="0" borderId="27" xfId="0" applyNumberFormat="1" applyFont="1" applyBorder="1" applyAlignment="1">
      <alignment horizontal="right" vertical="center"/>
    </xf>
    <xf numFmtId="3" fontId="36" fillId="19" borderId="22" xfId="0" applyNumberFormat="1" applyFont="1" applyFill="1" applyBorder="1" applyAlignment="1">
      <alignment horizontal="right" vertical="center"/>
    </xf>
    <xf numFmtId="3" fontId="36" fillId="19" borderId="26" xfId="0" applyNumberFormat="1" applyFont="1" applyFill="1" applyBorder="1" applyAlignment="1">
      <alignment horizontal="right" vertical="center"/>
    </xf>
    <xf numFmtId="3" fontId="36" fillId="19" borderId="27" xfId="0" applyNumberFormat="1" applyFont="1" applyFill="1" applyBorder="1" applyAlignment="1">
      <alignment horizontal="right" vertical="center"/>
    </xf>
    <xf numFmtId="3" fontId="36" fillId="20" borderId="22" xfId="0" applyNumberFormat="1" applyFont="1" applyFill="1" applyBorder="1" applyAlignment="1">
      <alignment horizontal="right" vertical="center"/>
    </xf>
    <xf numFmtId="3" fontId="36" fillId="20" borderId="26" xfId="0" applyNumberFormat="1" applyFont="1" applyFill="1" applyBorder="1" applyAlignment="1">
      <alignment horizontal="right" vertical="center"/>
    </xf>
    <xf numFmtId="3" fontId="36" fillId="20" borderId="27" xfId="0" applyNumberFormat="1" applyFont="1" applyFill="1" applyBorder="1" applyAlignment="1">
      <alignment horizontal="right" vertical="center"/>
    </xf>
    <xf numFmtId="0" fontId="8" fillId="0" borderId="22" xfId="0" applyFont="1" applyBorder="1" applyAlignment="1">
      <alignment horizontal="left" vertical="center" wrapText="1"/>
    </xf>
    <xf numFmtId="0" fontId="8" fillId="0" borderId="26" xfId="0" applyFont="1" applyBorder="1" applyAlignment="1">
      <alignment horizontal="left" vertical="center" wrapText="1"/>
    </xf>
    <xf numFmtId="0" fontId="8" fillId="0" borderId="27" xfId="0" applyFont="1" applyBorder="1" applyAlignment="1">
      <alignment horizontal="left" vertical="center" wrapText="1"/>
    </xf>
    <xf numFmtId="0" fontId="5" fillId="0" borderId="22"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1" fontId="3" fillId="0" borderId="11" xfId="0" applyNumberFormat="1" applyFont="1" applyBorder="1" applyAlignment="1">
      <alignment horizontal="right" vertical="center"/>
    </xf>
    <xf numFmtId="2" fontId="3" fillId="0" borderId="11" xfId="0" applyNumberFormat="1" applyFont="1" applyBorder="1" applyAlignment="1">
      <alignment horizontal="right" vertical="center"/>
    </xf>
    <xf numFmtId="43" fontId="3" fillId="0" borderId="11" xfId="2" applyNumberFormat="1" applyFont="1" applyBorder="1" applyAlignment="1">
      <alignment horizontal="right" vertical="center"/>
    </xf>
    <xf numFmtId="166" fontId="4" fillId="18" borderId="11" xfId="2" applyNumberFormat="1" applyFont="1" applyFill="1" applyBorder="1" applyAlignment="1">
      <alignment horizontal="right" vertical="center"/>
    </xf>
    <xf numFmtId="3" fontId="12" fillId="41" borderId="11" xfId="0" applyNumberFormat="1" applyFont="1" applyFill="1" applyBorder="1" applyAlignment="1">
      <alignment horizontal="right" vertical="center"/>
    </xf>
    <xf numFmtId="0" fontId="12" fillId="41" borderId="11" xfId="0" applyFont="1" applyFill="1" applyBorder="1" applyAlignment="1">
      <alignment horizontal="right" vertical="center"/>
    </xf>
    <xf numFmtId="3" fontId="12" fillId="42" borderId="11" xfId="0" applyNumberFormat="1" applyFont="1" applyFill="1" applyBorder="1" applyAlignment="1">
      <alignment horizontal="right" vertical="center"/>
    </xf>
    <xf numFmtId="0" fontId="12" fillId="42" borderId="11" xfId="0" applyFont="1" applyFill="1" applyBorder="1" applyAlignment="1">
      <alignment horizontal="right" vertical="center"/>
    </xf>
    <xf numFmtId="164" fontId="0" fillId="0" borderId="11" xfId="0" applyNumberFormat="1" applyFont="1" applyBorder="1" applyAlignment="1">
      <alignment horizontal="right" vertical="center"/>
    </xf>
    <xf numFmtId="0" fontId="24" fillId="0" borderId="22" xfId="0" applyFont="1" applyBorder="1" applyAlignment="1">
      <alignment horizontal="left" vertical="center" wrapText="1"/>
    </xf>
    <xf numFmtId="0" fontId="24" fillId="0" borderId="26" xfId="0" applyFont="1" applyBorder="1" applyAlignment="1">
      <alignment horizontal="left" vertical="center" wrapText="1"/>
    </xf>
    <xf numFmtId="0" fontId="24" fillId="0" borderId="27" xfId="0" applyFont="1" applyBorder="1" applyAlignment="1">
      <alignment horizontal="left" vertical="center" wrapText="1"/>
    </xf>
    <xf numFmtId="0" fontId="17" fillId="0" borderId="11" xfId="0" applyFont="1" applyBorder="1" applyAlignment="1">
      <alignment horizontal="center" textRotation="255" wrapText="1"/>
    </xf>
    <xf numFmtId="0" fontId="5" fillId="0" borderId="11" xfId="0" applyFont="1" applyBorder="1" applyAlignment="1">
      <alignment horizontal="center" vertical="center" wrapText="1"/>
    </xf>
    <xf numFmtId="174" fontId="0" fillId="0" borderId="58" xfId="0" applyNumberFormat="1" applyBorder="1" applyAlignment="1">
      <alignment horizontal="left" vertical="center" wrapText="1"/>
    </xf>
    <xf numFmtId="0" fontId="0" fillId="0" borderId="22" xfId="0" applyBorder="1" applyAlignment="1">
      <alignment horizontal="right" vertical="center" wrapText="1"/>
    </xf>
    <xf numFmtId="0" fontId="0" fillId="0" borderId="26" xfId="0" applyBorder="1" applyAlignment="1">
      <alignment horizontal="right" vertical="center" wrapText="1"/>
    </xf>
    <xf numFmtId="0" fontId="0" fillId="0" borderId="27" xfId="0" applyBorder="1" applyAlignment="1">
      <alignment horizontal="right" vertical="center" wrapText="1"/>
    </xf>
    <xf numFmtId="0" fontId="0" fillId="0" borderId="22" xfId="0" applyBorder="1" applyAlignment="1">
      <alignment horizontal="left"/>
    </xf>
    <xf numFmtId="0" fontId="0" fillId="0" borderId="27" xfId="0" applyBorder="1" applyAlignment="1">
      <alignment horizontal="left"/>
    </xf>
    <xf numFmtId="0" fontId="0" fillId="0" borderId="22" xfId="0" applyFill="1" applyBorder="1" applyAlignment="1">
      <alignment horizontal="left"/>
    </xf>
    <xf numFmtId="0" fontId="0" fillId="0" borderId="27" xfId="0" applyFill="1" applyBorder="1" applyAlignment="1">
      <alignment horizontal="left"/>
    </xf>
    <xf numFmtId="167" fontId="36" fillId="19" borderId="11" xfId="2" applyNumberFormat="1" applyFont="1" applyFill="1" applyBorder="1" applyAlignment="1">
      <alignment horizontal="right" vertical="center"/>
    </xf>
    <xf numFmtId="167" fontId="36" fillId="20" borderId="11" xfId="2" applyNumberFormat="1" applyFont="1" applyFill="1" applyBorder="1" applyAlignment="1">
      <alignment horizontal="right" vertical="center"/>
    </xf>
    <xf numFmtId="0" fontId="0" fillId="0" borderId="0" xfId="0" applyAlignment="1">
      <alignment horizontal="left" vertical="justify"/>
    </xf>
    <xf numFmtId="164" fontId="13" fillId="0" borderId="11" xfId="0" applyNumberFormat="1" applyFont="1" applyFill="1" applyBorder="1" applyAlignment="1">
      <alignment horizontal="right" vertical="center"/>
    </xf>
    <xf numFmtId="0" fontId="8" fillId="0" borderId="11" xfId="0" applyFont="1" applyBorder="1" applyAlignment="1">
      <alignment horizontal="center" vertical="center" wrapText="1"/>
    </xf>
    <xf numFmtId="0" fontId="0" fillId="13" borderId="11" xfId="0" applyFill="1" applyBorder="1" applyAlignment="1">
      <alignment horizontal="center" vertical="center"/>
    </xf>
    <xf numFmtId="0" fontId="0" fillId="12" borderId="11" xfId="0" applyFill="1" applyBorder="1" applyAlignment="1">
      <alignment horizontal="center" vertical="center"/>
    </xf>
    <xf numFmtId="0" fontId="5" fillId="0" borderId="22" xfId="0" applyFont="1" applyBorder="1" applyAlignment="1">
      <alignment horizontal="center" vertical="center" wrapText="1" shrinkToFit="1"/>
    </xf>
    <xf numFmtId="0" fontId="5" fillId="0" borderId="26" xfId="0" applyFont="1" applyBorder="1" applyAlignment="1">
      <alignment horizontal="center" vertical="center" wrapText="1" shrinkToFit="1"/>
    </xf>
    <xf numFmtId="0" fontId="5" fillId="0" borderId="27" xfId="0" applyFont="1" applyBorder="1" applyAlignment="1">
      <alignment horizontal="center" vertical="center" wrapText="1" shrinkToFit="1"/>
    </xf>
    <xf numFmtId="0" fontId="0" fillId="11" borderId="11" xfId="0" applyFill="1" applyBorder="1" applyAlignment="1">
      <alignment horizontal="center" vertical="center"/>
    </xf>
    <xf numFmtId="166" fontId="3" fillId="0" borderId="11" xfId="2" applyNumberFormat="1" applyFont="1" applyBorder="1" applyAlignment="1">
      <alignment horizontal="right" vertical="center"/>
    </xf>
    <xf numFmtId="168" fontId="12" fillId="8" borderId="11" xfId="2" applyNumberFormat="1" applyFont="1" applyFill="1" applyBorder="1" applyAlignment="1">
      <alignment horizontal="right" vertical="center"/>
    </xf>
    <xf numFmtId="173" fontId="12" fillId="8" borderId="11" xfId="2" applyNumberFormat="1" applyFont="1" applyFill="1" applyBorder="1" applyAlignment="1">
      <alignment horizontal="right" vertical="center"/>
    </xf>
    <xf numFmtId="0" fontId="3" fillId="0" borderId="11" xfId="0" applyFont="1" applyBorder="1" applyAlignment="1">
      <alignment horizontal="right" vertical="justify"/>
    </xf>
    <xf numFmtId="0" fontId="8" fillId="0" borderId="11" xfId="0" applyFont="1" applyBorder="1" applyAlignment="1">
      <alignment horizontal="left" vertical="justify" wrapText="1"/>
    </xf>
    <xf numFmtId="0" fontId="8" fillId="0" borderId="11" xfId="0" applyFont="1" applyBorder="1" applyAlignment="1">
      <alignment horizontal="left" vertical="justify"/>
    </xf>
    <xf numFmtId="0" fontId="3" fillId="0" borderId="11" xfId="0" applyFont="1" applyBorder="1" applyAlignment="1">
      <alignment horizontal="left" vertical="justify"/>
    </xf>
    <xf numFmtId="164" fontId="3" fillId="0" borderId="11" xfId="0" applyNumberFormat="1" applyFont="1" applyBorder="1" applyAlignment="1">
      <alignment horizontal="left" vertical="justify"/>
    </xf>
    <xf numFmtId="0" fontId="0" fillId="0" borderId="11" xfId="0" applyBorder="1" applyAlignment="1">
      <alignment horizontal="center"/>
    </xf>
    <xf numFmtId="168" fontId="3" fillId="0" borderId="11" xfId="0" applyNumberFormat="1" applyFont="1" applyBorder="1" applyAlignment="1">
      <alignment horizontal="right" vertical="justify"/>
    </xf>
    <xf numFmtId="0" fontId="5" fillId="0" borderId="11" xfId="0" applyFont="1" applyBorder="1" applyAlignment="1">
      <alignment horizontal="center"/>
    </xf>
    <xf numFmtId="0" fontId="5" fillId="0" borderId="11" xfId="0" applyFont="1" applyBorder="1" applyAlignment="1">
      <alignment horizontal="center" vertical="justify"/>
    </xf>
    <xf numFmtId="0" fontId="8" fillId="0" borderId="26" xfId="0" applyFont="1" applyBorder="1" applyAlignment="1">
      <alignment horizontal="left" vertical="center"/>
    </xf>
    <xf numFmtId="0" fontId="8" fillId="0" borderId="27" xfId="0" applyFont="1" applyBorder="1" applyAlignment="1">
      <alignment horizontal="left" vertical="center"/>
    </xf>
    <xf numFmtId="168" fontId="3" fillId="0" borderId="11" xfId="2" applyNumberFormat="1" applyFont="1" applyBorder="1" applyAlignment="1">
      <alignment horizontal="right" vertical="justify"/>
    </xf>
    <xf numFmtId="173" fontId="12" fillId="18" borderId="11" xfId="2" applyNumberFormat="1" applyFont="1" applyFill="1" applyBorder="1" applyAlignment="1">
      <alignment horizontal="right" vertical="justify"/>
    </xf>
    <xf numFmtId="165" fontId="3" fillId="0" borderId="11" xfId="1" applyNumberFormat="1" applyFont="1" applyBorder="1" applyAlignment="1">
      <alignment horizontal="right"/>
    </xf>
    <xf numFmtId="164" fontId="3" fillId="0" borderId="11" xfId="0" applyNumberFormat="1" applyFont="1" applyBorder="1" applyAlignment="1">
      <alignment vertical="justify"/>
    </xf>
    <xf numFmtId="3" fontId="36" fillId="19" borderId="11" xfId="0" applyNumberFormat="1" applyFont="1" applyFill="1" applyBorder="1" applyAlignment="1">
      <alignment horizontal="right" vertical="justify"/>
    </xf>
    <xf numFmtId="0" fontId="36" fillId="19" borderId="11" xfId="0" applyFont="1" applyFill="1" applyBorder="1" applyAlignment="1">
      <alignment horizontal="right" vertical="justify"/>
    </xf>
    <xf numFmtId="3" fontId="36" fillId="20" borderId="11" xfId="0" applyNumberFormat="1" applyFont="1" applyFill="1" applyBorder="1" applyAlignment="1">
      <alignment horizontal="right" vertical="justify"/>
    </xf>
    <xf numFmtId="0" fontId="36" fillId="20" borderId="11" xfId="0" applyFont="1" applyFill="1" applyBorder="1" applyAlignment="1">
      <alignment horizontal="right" vertical="justify"/>
    </xf>
    <xf numFmtId="3" fontId="36" fillId="48" borderId="11" xfId="0" applyNumberFormat="1" applyFont="1" applyFill="1" applyBorder="1" applyAlignment="1">
      <alignment horizontal="right" vertical="center"/>
    </xf>
    <xf numFmtId="3" fontId="36" fillId="49" borderId="11" xfId="0" applyNumberFormat="1" applyFont="1" applyFill="1" applyBorder="1" applyAlignment="1">
      <alignment horizontal="right" vertical="center"/>
    </xf>
    <xf numFmtId="168" fontId="3" fillId="0" borderId="11" xfId="0" applyNumberFormat="1" applyFont="1" applyFill="1" applyBorder="1" applyAlignment="1">
      <alignment horizontal="right" vertical="center"/>
    </xf>
    <xf numFmtId="3" fontId="12" fillId="26" borderId="11" xfId="0" applyNumberFormat="1" applyFont="1" applyFill="1" applyBorder="1" applyAlignment="1">
      <alignment horizontal="right" vertical="center"/>
    </xf>
    <xf numFmtId="0" fontId="12" fillId="26" borderId="11" xfId="0" applyFont="1" applyFill="1" applyBorder="1" applyAlignment="1">
      <alignment horizontal="right" vertical="center"/>
    </xf>
    <xf numFmtId="3" fontId="12" fillId="11" borderId="11" xfId="0" applyNumberFormat="1" applyFont="1" applyFill="1" applyBorder="1" applyAlignment="1">
      <alignment horizontal="right" vertical="center"/>
    </xf>
    <xf numFmtId="0" fontId="12" fillId="11" borderId="11" xfId="0" applyFont="1" applyFill="1" applyBorder="1" applyAlignment="1">
      <alignment horizontal="right" vertical="center"/>
    </xf>
    <xf numFmtId="166" fontId="12" fillId="18" borderId="11" xfId="2" applyNumberFormat="1" applyFont="1" applyFill="1" applyBorder="1" applyAlignment="1">
      <alignment horizontal="right" vertical="center"/>
    </xf>
    <xf numFmtId="10" fontId="3" fillId="0" borderId="11" xfId="1" applyNumberFormat="1" applyFont="1" applyBorder="1" applyAlignment="1">
      <alignment horizontal="right" vertical="center"/>
    </xf>
    <xf numFmtId="165" fontId="13" fillId="0" borderId="11" xfId="1" applyNumberFormat="1" applyFont="1" applyBorder="1" applyAlignment="1">
      <alignment horizontal="right" vertical="center"/>
    </xf>
    <xf numFmtId="164" fontId="13" fillId="0" borderId="11" xfId="0" applyNumberFormat="1" applyFont="1" applyBorder="1" applyAlignment="1">
      <alignment horizontal="right" vertical="center"/>
    </xf>
    <xf numFmtId="3" fontId="36" fillId="23" borderId="11" xfId="0" applyNumberFormat="1" applyFont="1" applyFill="1" applyBorder="1" applyAlignment="1">
      <alignment horizontal="right" vertical="center"/>
    </xf>
    <xf numFmtId="0" fontId="36" fillId="23" borderId="11" xfId="0" applyFont="1" applyFill="1" applyBorder="1" applyAlignment="1">
      <alignment horizontal="right" vertical="center"/>
    </xf>
    <xf numFmtId="3" fontId="36" fillId="22" borderId="11" xfId="0" applyNumberFormat="1" applyFont="1" applyFill="1" applyBorder="1" applyAlignment="1">
      <alignment horizontal="right" vertical="center"/>
    </xf>
    <xf numFmtId="0" fontId="36" fillId="22" borderId="11" xfId="0" applyFont="1" applyFill="1" applyBorder="1" applyAlignment="1">
      <alignment horizontal="right" vertical="center"/>
    </xf>
    <xf numFmtId="166" fontId="12" fillId="8" borderId="11" xfId="2" applyNumberFormat="1" applyFont="1" applyFill="1" applyBorder="1" applyAlignment="1">
      <alignment horizontal="right" vertical="center"/>
    </xf>
    <xf numFmtId="9" fontId="17" fillId="0" borderId="11" xfId="1" applyFont="1" applyBorder="1" applyAlignment="1">
      <alignment horizontal="right" vertical="center"/>
    </xf>
    <xf numFmtId="10" fontId="17" fillId="0" borderId="11" xfId="0" applyNumberFormat="1" applyFont="1" applyBorder="1" applyAlignment="1">
      <alignment horizontal="right" vertical="center"/>
    </xf>
    <xf numFmtId="1" fontId="3" fillId="0" borderId="11" xfId="2" applyNumberFormat="1" applyFont="1" applyBorder="1" applyAlignment="1">
      <alignment horizontal="right" vertical="center"/>
    </xf>
    <xf numFmtId="43" fontId="12" fillId="18" borderId="11" xfId="2" applyFont="1" applyFill="1" applyBorder="1" applyAlignment="1">
      <alignment horizontal="right" vertical="center"/>
    </xf>
    <xf numFmtId="0" fontId="8" fillId="0" borderId="22" xfId="0" applyFont="1" applyBorder="1" applyAlignment="1">
      <alignment horizontal="left" vertical="top" wrapText="1"/>
    </xf>
    <xf numFmtId="0" fontId="8" fillId="0" borderId="26" xfId="0" applyFont="1" applyBorder="1" applyAlignment="1">
      <alignment horizontal="left" vertical="top" wrapText="1"/>
    </xf>
    <xf numFmtId="0" fontId="8" fillId="0" borderId="27" xfId="0" applyFont="1" applyBorder="1" applyAlignment="1">
      <alignment horizontal="left" vertical="top" wrapText="1"/>
    </xf>
    <xf numFmtId="0" fontId="32" fillId="0" borderId="11" xfId="0" applyFont="1" applyBorder="1" applyAlignment="1">
      <alignment horizontal="center" wrapText="1"/>
    </xf>
    <xf numFmtId="0" fontId="32" fillId="0" borderId="26" xfId="0" applyFont="1" applyBorder="1" applyAlignment="1">
      <alignment horizontal="center" wrapText="1"/>
    </xf>
    <xf numFmtId="0" fontId="32" fillId="0" borderId="27" xfId="0" applyFont="1" applyBorder="1" applyAlignment="1">
      <alignment horizontal="center" wrapText="1"/>
    </xf>
    <xf numFmtId="0" fontId="0" fillId="0" borderId="29" xfId="0" applyBorder="1" applyAlignment="1">
      <alignment horizontal="center" wrapText="1"/>
    </xf>
    <xf numFmtId="0" fontId="32" fillId="0" borderId="22" xfId="0" applyFont="1" applyBorder="1" applyAlignment="1">
      <alignment horizontal="center" wrapText="1"/>
    </xf>
    <xf numFmtId="0" fontId="0" fillId="0" borderId="22" xfId="0" applyBorder="1" applyAlignment="1">
      <alignment horizontal="center" vertical="center"/>
    </xf>
    <xf numFmtId="0" fontId="0" fillId="0" borderId="27" xfId="0" applyBorder="1" applyAlignment="1">
      <alignment horizontal="center" vertical="center"/>
    </xf>
    <xf numFmtId="1" fontId="0" fillId="0" borderId="22" xfId="0" applyNumberFormat="1" applyBorder="1" applyAlignment="1">
      <alignment horizontal="center" vertical="center"/>
    </xf>
    <xf numFmtId="1" fontId="0" fillId="0" borderId="27" xfId="0" applyNumberFormat="1" applyBorder="1" applyAlignment="1">
      <alignment horizontal="center" vertical="center"/>
    </xf>
    <xf numFmtId="0" fontId="0" fillId="0" borderId="51" xfId="0" applyFont="1" applyBorder="1" applyAlignment="1">
      <alignment horizontal="center"/>
    </xf>
    <xf numFmtId="0" fontId="0" fillId="0" borderId="34" xfId="0" applyBorder="1" applyAlignment="1">
      <alignment horizontal="center" vertical="center"/>
    </xf>
    <xf numFmtId="0" fontId="0" fillId="0" borderId="35" xfId="0" applyBorder="1" applyAlignment="1">
      <alignment horizontal="center" vertical="center"/>
    </xf>
    <xf numFmtId="0" fontId="0" fillId="31" borderId="37" xfId="0" applyFill="1" applyBorder="1" applyAlignment="1">
      <alignment horizontal="center" vertical="center"/>
    </xf>
    <xf numFmtId="0" fontId="0" fillId="31" borderId="26" xfId="0" applyFill="1" applyBorder="1" applyAlignment="1">
      <alignment horizontal="center" vertical="center"/>
    </xf>
    <xf numFmtId="0" fontId="0" fillId="31" borderId="43" xfId="0" applyFill="1" applyBorder="1" applyAlignment="1">
      <alignment horizontal="center" vertical="center"/>
    </xf>
    <xf numFmtId="0" fontId="0" fillId="38" borderId="37" xfId="0" applyFill="1" applyBorder="1" applyAlignment="1">
      <alignment horizontal="center" vertical="center"/>
    </xf>
    <xf numFmtId="0" fontId="0" fillId="38" borderId="26" xfId="0" applyFill="1" applyBorder="1" applyAlignment="1">
      <alignment horizontal="center" vertical="center"/>
    </xf>
    <xf numFmtId="0" fontId="0" fillId="38" borderId="43" xfId="0" applyFill="1" applyBorder="1" applyAlignment="1">
      <alignment horizontal="center" vertical="center"/>
    </xf>
    <xf numFmtId="0" fontId="0" fillId="10" borderId="33" xfId="0" applyFill="1" applyBorder="1" applyAlignment="1">
      <alignment horizontal="center" vertical="center"/>
    </xf>
    <xf numFmtId="0" fontId="0" fillId="10" borderId="45" xfId="0" applyFill="1" applyBorder="1" applyAlignment="1">
      <alignment horizontal="center" vertical="center"/>
    </xf>
    <xf numFmtId="0" fontId="0" fillId="10" borderId="42" xfId="0" applyFill="1" applyBorder="1" applyAlignment="1">
      <alignment horizontal="center" vertical="center"/>
    </xf>
    <xf numFmtId="0" fontId="0" fillId="25" borderId="37" xfId="0" applyFill="1" applyBorder="1" applyAlignment="1">
      <alignment horizontal="center" vertical="center"/>
    </xf>
    <xf numFmtId="0" fontId="0" fillId="25" borderId="26" xfId="0" applyFill="1" applyBorder="1" applyAlignment="1">
      <alignment horizontal="center" vertical="center"/>
    </xf>
    <xf numFmtId="0" fontId="0" fillId="25" borderId="43" xfId="0" applyFill="1" applyBorder="1" applyAlignment="1">
      <alignment horizontal="center" vertical="center"/>
    </xf>
    <xf numFmtId="0" fontId="0" fillId="25" borderId="40" xfId="0" applyFill="1" applyBorder="1" applyAlignment="1">
      <alignment horizontal="center" vertical="center"/>
    </xf>
    <xf numFmtId="0" fontId="0" fillId="25" borderId="46" xfId="0" applyFill="1" applyBorder="1" applyAlignment="1">
      <alignment horizontal="center" vertical="center"/>
    </xf>
    <xf numFmtId="0" fontId="0" fillId="25" borderId="44" xfId="0" applyFill="1" applyBorder="1" applyAlignment="1">
      <alignment horizontal="center" vertical="center"/>
    </xf>
    <xf numFmtId="0" fontId="0" fillId="6" borderId="37" xfId="0" applyFill="1" applyBorder="1" applyAlignment="1">
      <alignment horizontal="center" vertical="center"/>
    </xf>
    <xf numFmtId="0" fontId="0" fillId="6" borderId="26" xfId="0" applyFill="1" applyBorder="1" applyAlignment="1">
      <alignment horizontal="center" vertical="center"/>
    </xf>
    <xf numFmtId="0" fontId="0" fillId="6" borderId="43" xfId="0" applyFill="1" applyBorder="1" applyAlignment="1">
      <alignment horizontal="center" vertical="center"/>
    </xf>
    <xf numFmtId="0" fontId="0" fillId="10" borderId="37" xfId="0" applyFill="1" applyBorder="1" applyAlignment="1">
      <alignment horizontal="center" vertical="center"/>
    </xf>
    <xf numFmtId="0" fontId="0" fillId="10" borderId="26" xfId="0" applyFill="1" applyBorder="1" applyAlignment="1">
      <alignment horizontal="center" vertical="center"/>
    </xf>
    <xf numFmtId="0" fontId="0" fillId="10" borderId="43" xfId="0" applyFill="1" applyBorder="1" applyAlignment="1">
      <alignment horizontal="center" vertical="center"/>
    </xf>
    <xf numFmtId="168" fontId="0" fillId="9" borderId="11" xfId="0" applyNumberFormat="1" applyFill="1" applyBorder="1"/>
    <xf numFmtId="0" fontId="0" fillId="6" borderId="11" xfId="0" applyFill="1" applyBorder="1"/>
    <xf numFmtId="168" fontId="0" fillId="6" borderId="11" xfId="0" applyNumberFormat="1" applyFill="1" applyBorder="1"/>
  </cellXfs>
  <cellStyles count="7">
    <cellStyle name="Euro" xfId="4"/>
    <cellStyle name="Lien hypertexte" xfId="6" builtinId="8"/>
    <cellStyle name="Milliers" xfId="2" builtinId="3"/>
    <cellStyle name="Normal" xfId="0" builtinId="0"/>
    <cellStyle name="Normal 2" xfId="3"/>
    <cellStyle name="Normal 2 2" xfId="5"/>
    <cellStyle name="Pourcentage" xfId="1" builtinId="5"/>
  </cellStyles>
  <dxfs count="297">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
      <fill>
        <patternFill>
          <bgColor rgb="FFFF2D2D"/>
        </patternFill>
      </fill>
    </dxf>
    <dxf>
      <fill>
        <patternFill>
          <bgColor rgb="FFFFCF37"/>
        </patternFill>
      </fill>
    </dxf>
    <dxf>
      <fill>
        <patternFill>
          <bgColor rgb="FF92D050"/>
        </patternFill>
      </fill>
    </dxf>
  </dxfs>
  <tableStyles count="0" defaultTableStyle="TableStyleMedium2" defaultPivotStyle="PivotStyleLight16"/>
  <colors>
    <mruColors>
      <color rgb="FFBAFEC0"/>
      <color rgb="FF03F71A"/>
      <color rgb="FF008000"/>
      <color rgb="FF9CFEFE"/>
      <color rgb="FFFEC2CC"/>
      <color rgb="FF5FFD6E"/>
      <color rgb="FFFF9F9F"/>
      <color rgb="FFFFCF37"/>
      <color rgb="FF003742"/>
      <color rgb="FFFF2D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tyles" Target="styles.xml"/><Relationship Id="rId16" Type="http://schemas.openxmlformats.org/officeDocument/2006/relationships/worksheet" Target="worksheets/sheet16.xml"/><Relationship Id="rId107" Type="http://schemas.openxmlformats.org/officeDocument/2006/relationships/externalLink" Target="externalLinks/externalLink4.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sharedStrings" Target="sharedString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externalLink" Target="externalLinks/externalLink5.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externalLink" Target="externalLinks/externalLink3.xml"/><Relationship Id="rId114"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externalLink" Target="externalLinks/externalLink6.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externalLink" Target="externalLinks/externalLink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fr-BE" sz="1400"/>
              <a:t>Réduction d'émissions CO</a:t>
            </a:r>
            <a:r>
              <a:rPr lang="fr-BE" sz="1050"/>
              <a:t>2</a:t>
            </a:r>
            <a:r>
              <a:rPr lang="fr-BE" sz="1400"/>
              <a:t> - HABAY - Objectifs et Réalisations</a:t>
            </a:r>
          </a:p>
        </c:rich>
      </c:tx>
      <c:layout/>
      <c:overlay val="0"/>
    </c:title>
    <c:autoTitleDeleted val="0"/>
    <c:plotArea>
      <c:layout>
        <c:manualLayout>
          <c:layoutTarget val="inner"/>
          <c:xMode val="edge"/>
          <c:yMode val="edge"/>
          <c:x val="5.3592091793174403E-2"/>
          <c:y val="0.12523083052118486"/>
          <c:w val="0.91496439923556405"/>
          <c:h val="0.80021067679040125"/>
        </c:manualLayout>
      </c:layout>
      <c:barChart>
        <c:barDir val="col"/>
        <c:grouping val="clustered"/>
        <c:varyColors val="0"/>
        <c:ser>
          <c:idx val="0"/>
          <c:order val="0"/>
          <c:tx>
            <c:v>Objectif</c:v>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'Objectifs CO2'!$B$8:$B$15</c:f>
              <c:strCache>
                <c:ptCount val="8"/>
                <c:pt idx="0">
                  <c:v>Objectif </c:v>
                </c:pt>
                <c:pt idx="1">
                  <c:v>Territoire</c:v>
                </c:pt>
                <c:pt idx="2">
                  <c:v>Agriculture</c:v>
                </c:pt>
                <c:pt idx="3">
                  <c:v>Industrie</c:v>
                </c:pt>
                <c:pt idx="4">
                  <c:v>Logement</c:v>
                </c:pt>
                <c:pt idx="5">
                  <c:v>Tertiaire</c:v>
                </c:pt>
                <c:pt idx="6">
                  <c:v>Transport</c:v>
                </c:pt>
                <c:pt idx="7">
                  <c:v>Communal</c:v>
                </c:pt>
              </c:strCache>
            </c:strRef>
          </c:cat>
          <c:val>
            <c:numRef>
              <c:f>'Objectifs CO2'!$C$8:$C$15</c:f>
              <c:numCache>
                <c:formatCode>_ * #,##0_ ;_ * \-#,##0_ ;_ * "-"??_ ;_ @_ </c:formatCode>
                <c:ptCount val="8"/>
                <c:pt idx="0" formatCode="0">
                  <c:v>6900.97446499739</c:v>
                </c:pt>
                <c:pt idx="1">
                  <c:v>345.04872324986951</c:v>
                </c:pt>
                <c:pt idx="2">
                  <c:v>690.09744649973902</c:v>
                </c:pt>
                <c:pt idx="3">
                  <c:v>690.09744649973902</c:v>
                </c:pt>
                <c:pt idx="4">
                  <c:v>3450.487232498695</c:v>
                </c:pt>
                <c:pt idx="5">
                  <c:v>138.01948929994779</c:v>
                </c:pt>
                <c:pt idx="6">
                  <c:v>207.02923394992169</c:v>
                </c:pt>
                <c:pt idx="7">
                  <c:v>1380.194892999478</c:v>
                </c:pt>
              </c:numCache>
            </c:numRef>
          </c:val>
        </c:ser>
        <c:ser>
          <c:idx val="1"/>
          <c:order val="1"/>
          <c:tx>
            <c:v>Réalisé</c:v>
          </c:tx>
          <c:invertIfNegative val="0"/>
          <c:dLbls>
            <c:dLbl>
              <c:idx val="4"/>
              <c:layout>
                <c:manualLayout>
                  <c:x val="-1.2671829539185162E-16"/>
                  <c:y val="-1.0104666844360283E-2"/>
                </c:manualLayout>
              </c:layout>
              <c:showLegendKey val="0"/>
              <c:showVal val="1"/>
              <c:showCatName val="0"/>
              <c:showSerName val="0"/>
              <c:showPercent val="0"/>
              <c:showBubbleSize val="0"/>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'Objectifs CO2'!$B$8:$B$15</c:f>
              <c:strCache>
                <c:ptCount val="8"/>
                <c:pt idx="0">
                  <c:v>Objectif </c:v>
                </c:pt>
                <c:pt idx="1">
                  <c:v>Territoire</c:v>
                </c:pt>
                <c:pt idx="2">
                  <c:v>Agriculture</c:v>
                </c:pt>
                <c:pt idx="3">
                  <c:v>Industrie</c:v>
                </c:pt>
                <c:pt idx="4">
                  <c:v>Logement</c:v>
                </c:pt>
                <c:pt idx="5">
                  <c:v>Tertiaire</c:v>
                </c:pt>
                <c:pt idx="6">
                  <c:v>Transport</c:v>
                </c:pt>
                <c:pt idx="7">
                  <c:v>Communal</c:v>
                </c:pt>
              </c:strCache>
            </c:strRef>
          </c:cat>
          <c:val>
            <c:numRef>
              <c:f>'Objectifs CO2'!$E$8:$E$15</c:f>
              <c:numCache>
                <c:formatCode>0</c:formatCode>
                <c:ptCount val="8"/>
                <c:pt idx="0">
                  <c:v>8712.9073433284775</c:v>
                </c:pt>
                <c:pt idx="1">
                  <c:v>1595.8890827412229</c:v>
                </c:pt>
                <c:pt idx="2">
                  <c:v>0</c:v>
                </c:pt>
                <c:pt idx="3">
                  <c:v>7.6417859999999997</c:v>
                </c:pt>
                <c:pt idx="4">
                  <c:v>5783.6717977308126</c:v>
                </c:pt>
                <c:pt idx="5">
                  <c:v>107.07524999999998</c:v>
                </c:pt>
                <c:pt idx="6">
                  <c:v>21.976376856440965</c:v>
                </c:pt>
                <c:pt idx="7">
                  <c:v>1196.6530499999999</c:v>
                </c:pt>
              </c:numCache>
            </c:numRef>
          </c:val>
        </c:ser>
        <c:dLbls>
          <c:showLegendKey val="0"/>
          <c:showVal val="0"/>
          <c:showCatName val="0"/>
          <c:showSerName val="0"/>
          <c:showPercent val="0"/>
          <c:showBubbleSize val="0"/>
        </c:dLbls>
        <c:gapWidth val="150"/>
        <c:axId val="317724160"/>
        <c:axId val="182795584"/>
      </c:barChart>
      <c:catAx>
        <c:axId val="317724160"/>
        <c:scaling>
          <c:orientation val="minMax"/>
        </c:scaling>
        <c:delete val="0"/>
        <c:axPos val="b"/>
        <c:numFmt formatCode="General" sourceLinked="0"/>
        <c:majorTickMark val="none"/>
        <c:minorTickMark val="none"/>
        <c:tickLblPos val="nextTo"/>
        <c:crossAx val="182795584"/>
        <c:crosses val="autoZero"/>
        <c:auto val="1"/>
        <c:lblAlgn val="ctr"/>
        <c:lblOffset val="100"/>
        <c:noMultiLvlLbl val="0"/>
      </c:catAx>
      <c:valAx>
        <c:axId val="182795584"/>
        <c:scaling>
          <c:orientation val="minMax"/>
          <c:min val="0"/>
        </c:scaling>
        <c:delete val="0"/>
        <c:axPos val="l"/>
        <c:majorGridlines/>
        <c:title>
          <c:tx>
            <c:rich>
              <a:bodyPr rot="0" vert="horz"/>
              <a:lstStyle/>
              <a:p>
                <a:pPr>
                  <a:defRPr/>
                </a:pPr>
                <a:r>
                  <a:rPr lang="en-US"/>
                  <a:t>T CO</a:t>
                </a:r>
                <a:r>
                  <a:rPr lang="en-US" sz="600"/>
                  <a:t>2</a:t>
                </a:r>
              </a:p>
            </c:rich>
          </c:tx>
          <c:layout>
            <c:manualLayout>
              <c:xMode val="edge"/>
              <c:yMode val="edge"/>
              <c:x val="2.246395732201872E-2"/>
              <c:y val="4.1305544173439547E-2"/>
            </c:manualLayout>
          </c:layout>
          <c:overlay val="0"/>
        </c:title>
        <c:numFmt formatCode="#,##0" sourceLinked="0"/>
        <c:majorTickMark val="none"/>
        <c:minorTickMark val="none"/>
        <c:tickLblPos val="nextTo"/>
        <c:crossAx val="317724160"/>
        <c:crosses val="autoZero"/>
        <c:crossBetween val="between"/>
      </c:valAx>
    </c:plotArea>
    <c:legend>
      <c:legendPos val="r"/>
      <c:layout>
        <c:manualLayout>
          <c:xMode val="edge"/>
          <c:yMode val="edge"/>
          <c:x val="0.86696596393192782"/>
          <c:y val="2.5013592050993644E-2"/>
          <c:w val="0.11966020376485195"/>
          <c:h val="0.10763638920134982"/>
        </c:manualLayout>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fr-BE" sz="1200"/>
              <a:t>Budget</a:t>
            </a:r>
            <a:r>
              <a:rPr lang="fr-BE" sz="1200" baseline="0"/>
              <a:t> total - </a:t>
            </a:r>
            <a:r>
              <a:rPr lang="fr-BE" sz="1200"/>
              <a:t> porteur de projet</a:t>
            </a:r>
          </a:p>
        </c:rich>
      </c:tx>
      <c:layout>
        <c:manualLayout>
          <c:xMode val="edge"/>
          <c:yMode val="edge"/>
          <c:x val="0.45659711286089238"/>
          <c:y val="1.3888888888888888E-2"/>
        </c:manualLayout>
      </c:layout>
      <c:overlay val="0"/>
    </c:title>
    <c:autoTitleDeleted val="0"/>
    <c:plotArea>
      <c:layout>
        <c:manualLayout>
          <c:layoutTarget val="inner"/>
          <c:xMode val="edge"/>
          <c:yMode val="edge"/>
          <c:x val="0.10372156605424321"/>
          <c:y val="0.13468613298337709"/>
          <c:w val="0.51827952755905526"/>
          <c:h val="0.8637992125984254"/>
        </c:manualLayout>
      </c:layout>
      <c:pieChart>
        <c:varyColors val="1"/>
        <c:ser>
          <c:idx val="0"/>
          <c:order val="0"/>
          <c:tx>
            <c:strRef>
              <c:f>'[1]BUDGET ATTE'!$H$49</c:f>
              <c:strCache>
                <c:ptCount val="1"/>
                <c:pt idx="0">
                  <c:v>%</c:v>
                </c:pt>
              </c:strCache>
            </c:strRef>
          </c:tx>
          <c:dPt>
            <c:idx val="0"/>
            <c:bubble3D val="0"/>
            <c:spPr>
              <a:solidFill>
                <a:srgbClr val="0070C0"/>
              </a:solidFill>
            </c:spPr>
          </c:dPt>
          <c:dPt>
            <c:idx val="1"/>
            <c:bubble3D val="0"/>
            <c:spPr>
              <a:solidFill>
                <a:srgbClr val="0BE325"/>
              </a:solidFill>
            </c:spPr>
          </c:dPt>
          <c:dPt>
            <c:idx val="2"/>
            <c:bubble3D val="0"/>
            <c:spPr>
              <a:solidFill>
                <a:srgbClr val="FF0000"/>
              </a:solidFill>
            </c:spPr>
          </c:dPt>
          <c:dPt>
            <c:idx val="4"/>
            <c:bubble3D val="0"/>
            <c:spPr>
              <a:solidFill>
                <a:srgbClr val="00B0F0"/>
              </a:solidFill>
            </c:spPr>
          </c:dPt>
          <c:dPt>
            <c:idx val="5"/>
            <c:bubble3D val="0"/>
            <c:spPr>
              <a:solidFill>
                <a:srgbClr val="C00000"/>
              </a:solidFill>
            </c:spPr>
          </c:dPt>
          <c:dLbls>
            <c:dLbl>
              <c:idx val="0"/>
              <c:layout>
                <c:manualLayout>
                  <c:x val="-1.6861876640419948E-2"/>
                  <c:y val="-0.11646544181977245"/>
                </c:manualLayout>
              </c:layout>
              <c:showLegendKey val="1"/>
              <c:showVal val="1"/>
              <c:showCatName val="1"/>
              <c:showSerName val="0"/>
              <c:showPercent val="0"/>
              <c:showBubbleSize val="0"/>
              <c:separator> </c:separator>
            </c:dLbl>
            <c:dLbl>
              <c:idx val="1"/>
              <c:layout>
                <c:manualLayout>
                  <c:x val="4.2349518810148729E-2"/>
                  <c:y val="-1.8935185185185187E-2"/>
                </c:manualLayout>
              </c:layout>
              <c:showLegendKey val="1"/>
              <c:showVal val="1"/>
              <c:showCatName val="1"/>
              <c:showSerName val="0"/>
              <c:showPercent val="0"/>
              <c:showBubbleSize val="0"/>
              <c:separator> </c:separator>
            </c:dLbl>
            <c:dLbl>
              <c:idx val="2"/>
              <c:layout>
                <c:manualLayout>
                  <c:x val="0"/>
                  <c:y val="-0.31594925634295712"/>
                </c:manualLayout>
              </c:layout>
              <c:showLegendKey val="1"/>
              <c:showVal val="1"/>
              <c:showCatName val="1"/>
              <c:showSerName val="0"/>
              <c:showPercent val="0"/>
              <c:showBubbleSize val="0"/>
              <c:separator> </c:separator>
            </c:dLbl>
            <c:showLegendKey val="1"/>
            <c:showVal val="1"/>
            <c:showCatName val="1"/>
            <c:showSerName val="0"/>
            <c:showPercent val="0"/>
            <c:showBubbleSize val="0"/>
            <c:separator> </c:separator>
            <c:showLeaderLines val="1"/>
          </c:dLbls>
          <c:cat>
            <c:strRef>
              <c:f>'[1]BUDGET ATTE'!$B$50:$B$55</c:f>
              <c:strCache>
                <c:ptCount val="6"/>
                <c:pt idx="0">
                  <c:v>AC WELLIN</c:v>
                </c:pt>
                <c:pt idx="1">
                  <c:v>Agriculteurs</c:v>
                </c:pt>
                <c:pt idx="2">
                  <c:v>Citoyens</c:v>
                </c:pt>
                <c:pt idx="3">
                  <c:v>IDELUX</c:v>
                </c:pt>
                <c:pt idx="4">
                  <c:v>Industrie</c:v>
                </c:pt>
                <c:pt idx="5">
                  <c:v>Tertiaire</c:v>
                </c:pt>
              </c:strCache>
            </c:strRef>
          </c:cat>
          <c:val>
            <c:numRef>
              <c:f>'[1]BUDGET ATTE'!$H$50:$H$55</c:f>
              <c:numCache>
                <c:formatCode>General</c:formatCode>
                <c:ptCount val="6"/>
                <c:pt idx="0">
                  <c:v>0.17419598851009507</c:v>
                </c:pt>
                <c:pt idx="1">
                  <c:v>3.1011239654323529E-2</c:v>
                </c:pt>
                <c:pt idx="2">
                  <c:v>0.72383184391220012</c:v>
                </c:pt>
                <c:pt idx="3">
                  <c:v>5.6039659088804004E-3</c:v>
                </c:pt>
                <c:pt idx="4">
                  <c:v>3.2015427763544844E-2</c:v>
                </c:pt>
                <c:pt idx="5">
                  <c:v>3.3341534250956033E-2</c:v>
                </c:pt>
              </c:numCache>
            </c:numRef>
          </c:val>
        </c:ser>
        <c:dLbls>
          <c:showLegendKey val="0"/>
          <c:showVal val="0"/>
          <c:showCatName val="0"/>
          <c:showSerName val="0"/>
          <c:showPercent val="0"/>
          <c:showBubbleSize val="0"/>
          <c:showLeaderLines val="1"/>
        </c:dLbls>
        <c:firstSliceAng val="70"/>
      </c:pieChart>
    </c:plotArea>
    <c:plotVisOnly val="1"/>
    <c:dispBlanksAs val="gap"/>
    <c:showDLblsOverMax val="0"/>
  </c:chart>
  <c:spPr>
    <a:gradFill>
      <a:gsLst>
        <a:gs pos="0">
          <a:srgbClr val="FFC000">
            <a:alpha val="57000"/>
          </a:srgbClr>
        </a:gs>
        <a:gs pos="100000">
          <a:schemeClr val="bg1"/>
        </a:gs>
      </a:gsLst>
      <a:lin ang="5400000" scaled="0"/>
    </a:gradFill>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fr-BE" sz="1200"/>
              <a:t>Budget total - secteur</a:t>
            </a:r>
          </a:p>
        </c:rich>
      </c:tx>
      <c:layout>
        <c:manualLayout>
          <c:xMode val="edge"/>
          <c:yMode val="edge"/>
          <c:x val="0.57344444444444442"/>
          <c:y val="1.8518518518518517E-2"/>
        </c:manualLayout>
      </c:layout>
      <c:overlay val="0"/>
    </c:title>
    <c:autoTitleDeleted val="0"/>
    <c:plotArea>
      <c:layout>
        <c:manualLayout>
          <c:layoutTarget val="inner"/>
          <c:xMode val="edge"/>
          <c:yMode val="edge"/>
          <c:x val="0.12373928258967629"/>
          <c:y val="0.19487131816856226"/>
          <c:w val="0.49141054243219595"/>
          <c:h val="0.80512868183143771"/>
        </c:manualLayout>
      </c:layout>
      <c:pieChart>
        <c:varyColors val="1"/>
        <c:ser>
          <c:idx val="0"/>
          <c:order val="0"/>
          <c:tx>
            <c:strRef>
              <c:f>'[1]BUDGET ATTE'!$H$60</c:f>
              <c:strCache>
                <c:ptCount val="1"/>
                <c:pt idx="0">
                  <c:v>%</c:v>
                </c:pt>
              </c:strCache>
            </c:strRef>
          </c:tx>
          <c:dPt>
            <c:idx val="1"/>
            <c:bubble3D val="0"/>
            <c:spPr>
              <a:solidFill>
                <a:srgbClr val="0BE325"/>
              </a:solidFill>
            </c:spPr>
          </c:dPt>
          <c:dPt>
            <c:idx val="2"/>
            <c:bubble3D val="0"/>
            <c:spPr>
              <a:solidFill>
                <a:srgbClr val="00B0F0"/>
              </a:solidFill>
            </c:spPr>
          </c:dPt>
          <c:dPt>
            <c:idx val="3"/>
            <c:bubble3D val="0"/>
            <c:spPr>
              <a:solidFill>
                <a:srgbClr val="FF0000"/>
              </a:solidFill>
            </c:spPr>
          </c:dPt>
          <c:dPt>
            <c:idx val="4"/>
            <c:bubble3D val="0"/>
            <c:spPr>
              <a:solidFill>
                <a:srgbClr val="C00000"/>
              </a:solidFill>
            </c:spPr>
          </c:dPt>
          <c:dPt>
            <c:idx val="5"/>
            <c:bubble3D val="0"/>
            <c:spPr>
              <a:solidFill>
                <a:srgbClr val="FFC000"/>
              </a:solidFill>
            </c:spPr>
          </c:dPt>
          <c:dPt>
            <c:idx val="6"/>
            <c:bubble3D val="0"/>
            <c:spPr>
              <a:solidFill>
                <a:srgbClr val="0070C0"/>
              </a:solidFill>
            </c:spPr>
          </c:dPt>
          <c:dLbls>
            <c:dLbl>
              <c:idx val="2"/>
              <c:layout>
                <c:manualLayout>
                  <c:x val="-2.3409230096237969E-2"/>
                  <c:y val="6.7759915427238263E-2"/>
                </c:manualLayout>
              </c:layout>
              <c:showLegendKey val="1"/>
              <c:showVal val="1"/>
              <c:showCatName val="1"/>
              <c:showSerName val="0"/>
              <c:showPercent val="0"/>
              <c:showBubbleSize val="0"/>
              <c:separator> </c:separator>
            </c:dLbl>
            <c:dLbl>
              <c:idx val="3"/>
              <c:layout>
                <c:manualLayout>
                  <c:x val="0"/>
                  <c:y val="-0.35805555555555552"/>
                </c:manualLayout>
              </c:layout>
              <c:showLegendKey val="1"/>
              <c:showVal val="1"/>
              <c:showCatName val="1"/>
              <c:showSerName val="0"/>
              <c:showPercent val="0"/>
              <c:showBubbleSize val="0"/>
              <c:separator> </c:separator>
            </c:dLbl>
            <c:dLbl>
              <c:idx val="4"/>
              <c:layout>
                <c:manualLayout>
                  <c:x val="3.8718941382327211E-2"/>
                  <c:y val="-1.4075167687372412E-2"/>
                </c:manualLayout>
              </c:layout>
              <c:showLegendKey val="1"/>
              <c:showVal val="1"/>
              <c:showCatName val="1"/>
              <c:showSerName val="0"/>
              <c:showPercent val="0"/>
              <c:showBubbleSize val="0"/>
              <c:separator> </c:separator>
            </c:dLbl>
            <c:dLbl>
              <c:idx val="5"/>
              <c:layout>
                <c:manualLayout>
                  <c:x val="8.4317585301837267E-4"/>
                  <c:y val="7.0325532225138529E-2"/>
                </c:manualLayout>
              </c:layout>
              <c:showLegendKey val="1"/>
              <c:showVal val="1"/>
              <c:showCatName val="1"/>
              <c:showSerName val="0"/>
              <c:showPercent val="0"/>
              <c:showBubbleSize val="0"/>
              <c:separator> </c:separator>
            </c:dLbl>
            <c:dLbl>
              <c:idx val="6"/>
              <c:layout>
                <c:manualLayout>
                  <c:x val="-2.6908573928258968E-2"/>
                  <c:y val="-0.12478273549139692"/>
                </c:manualLayout>
              </c:layout>
              <c:showLegendKey val="1"/>
              <c:showVal val="1"/>
              <c:showCatName val="1"/>
              <c:showSerName val="0"/>
              <c:showPercent val="0"/>
              <c:showBubbleSize val="0"/>
              <c:separator> </c:separator>
            </c:dLbl>
            <c:showLegendKey val="1"/>
            <c:showVal val="1"/>
            <c:showCatName val="1"/>
            <c:showSerName val="0"/>
            <c:showPercent val="0"/>
            <c:showBubbleSize val="0"/>
            <c:separator> </c:separator>
            <c:showLeaderLines val="1"/>
          </c:dLbls>
          <c:cat>
            <c:strRef>
              <c:f>'[1]BUDGET ATTE'!$B$61:$B$67</c:f>
              <c:strCache>
                <c:ptCount val="7"/>
                <c:pt idx="0">
                  <c:v>Territorial</c:v>
                </c:pt>
                <c:pt idx="1">
                  <c:v>Agriculture</c:v>
                </c:pt>
                <c:pt idx="2">
                  <c:v>Industrie</c:v>
                </c:pt>
                <c:pt idx="3">
                  <c:v>Logement</c:v>
                </c:pt>
                <c:pt idx="4">
                  <c:v>Tertiaire</c:v>
                </c:pt>
                <c:pt idx="5">
                  <c:v>Transport</c:v>
                </c:pt>
                <c:pt idx="6">
                  <c:v>Communal</c:v>
                </c:pt>
              </c:strCache>
            </c:strRef>
          </c:cat>
          <c:val>
            <c:numRef>
              <c:f>'[1]BUDGET ATTE'!$H$61:$H$67</c:f>
              <c:numCache>
                <c:formatCode>General</c:formatCode>
                <c:ptCount val="7"/>
                <c:pt idx="0">
                  <c:v>1.8512791557137816E-2</c:v>
                </c:pt>
                <c:pt idx="1">
                  <c:v>3.1011239654323525E-2</c:v>
                </c:pt>
                <c:pt idx="2">
                  <c:v>3.2015427763544844E-2</c:v>
                </c:pt>
                <c:pt idx="3">
                  <c:v>0.52523721783700195</c:v>
                </c:pt>
                <c:pt idx="4">
                  <c:v>8.1811070844166611E-3</c:v>
                </c:pt>
                <c:pt idx="5">
                  <c:v>0.23186042575176369</c:v>
                </c:pt>
                <c:pt idx="6">
                  <c:v>0.15318179035181154</c:v>
                </c:pt>
              </c:numCache>
            </c:numRef>
          </c:val>
        </c:ser>
        <c:dLbls>
          <c:showLegendKey val="0"/>
          <c:showVal val="0"/>
          <c:showCatName val="0"/>
          <c:showSerName val="0"/>
          <c:showPercent val="0"/>
          <c:showBubbleSize val="0"/>
          <c:showLeaderLines val="1"/>
        </c:dLbls>
        <c:firstSliceAng val="132"/>
      </c:pieChart>
    </c:plotArea>
    <c:plotVisOnly val="1"/>
    <c:dispBlanksAs val="gap"/>
    <c:showDLblsOverMax val="0"/>
  </c:chart>
  <c:spPr>
    <a:gradFill>
      <a:gsLst>
        <a:gs pos="0">
          <a:srgbClr val="FFC000">
            <a:alpha val="57000"/>
          </a:srgbClr>
        </a:gs>
        <a:gs pos="100000">
          <a:schemeClr val="bg1"/>
        </a:gs>
      </a:gsLst>
      <a:lin ang="5400000" scaled="0"/>
    </a:gra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BE"/>
              <a:t>Economies d'énergie  - HABAY - Objectifs et Réalisations</a:t>
            </a:r>
          </a:p>
        </c:rich>
      </c:tx>
      <c:layout>
        <c:manualLayout>
          <c:xMode val="edge"/>
          <c:yMode val="edge"/>
          <c:x val="0.12289419467727826"/>
          <c:y val="8.9285714285714281E-3"/>
        </c:manualLayout>
      </c:layout>
      <c:overlay val="0"/>
    </c:title>
    <c:autoTitleDeleted val="0"/>
    <c:plotArea>
      <c:layout>
        <c:manualLayout>
          <c:layoutTarget val="inner"/>
          <c:xMode val="edge"/>
          <c:yMode val="edge"/>
          <c:x val="5.3592091793174403E-2"/>
          <c:y val="0.12523083052118486"/>
          <c:w val="0.91496439923556405"/>
          <c:h val="0.80021067679040125"/>
        </c:manualLayout>
      </c:layout>
      <c:barChart>
        <c:barDir val="col"/>
        <c:grouping val="clustered"/>
        <c:varyColors val="0"/>
        <c:ser>
          <c:idx val="0"/>
          <c:order val="0"/>
          <c:tx>
            <c:v>Objectif</c:v>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'Objectifs ECO'!$B$4:$B$10</c:f>
              <c:strCache>
                <c:ptCount val="7"/>
                <c:pt idx="0">
                  <c:v>Objectif territorial</c:v>
                </c:pt>
                <c:pt idx="1">
                  <c:v>Agriculture</c:v>
                </c:pt>
                <c:pt idx="2">
                  <c:v>Industrie</c:v>
                </c:pt>
                <c:pt idx="3">
                  <c:v>Logement</c:v>
                </c:pt>
                <c:pt idx="4">
                  <c:v>Tertiaire</c:v>
                </c:pt>
                <c:pt idx="5">
                  <c:v>Transport</c:v>
                </c:pt>
                <c:pt idx="6">
                  <c:v>Communal</c:v>
                </c:pt>
              </c:strCache>
            </c:strRef>
          </c:cat>
          <c:val>
            <c:numRef>
              <c:f>'Objectifs ECO'!$C$4:$C$10</c:f>
              <c:numCache>
                <c:formatCode>_ * #,##0_ ;_ * \-#,##0_ ;_ * "-"??_ ;_ @_ </c:formatCode>
                <c:ptCount val="7"/>
                <c:pt idx="0" formatCode="0">
                  <c:v>31501.109160503103</c:v>
                </c:pt>
                <c:pt idx="1">
                  <c:v>9450.3327481509314</c:v>
                </c:pt>
                <c:pt idx="2">
                  <c:v>1575.0554580251553</c:v>
                </c:pt>
                <c:pt idx="3">
                  <c:v>9450.3327481509314</c:v>
                </c:pt>
                <c:pt idx="4">
                  <c:v>3150.1109160503106</c:v>
                </c:pt>
                <c:pt idx="5">
                  <c:v>4725.1663740754657</c:v>
                </c:pt>
                <c:pt idx="6">
                  <c:v>630.02218321006205</c:v>
                </c:pt>
              </c:numCache>
            </c:numRef>
          </c:val>
        </c:ser>
        <c:ser>
          <c:idx val="1"/>
          <c:order val="1"/>
          <c:tx>
            <c:strRef>
              <c:f>'Objectifs ECO'!$E$3</c:f>
              <c:strCache>
                <c:ptCount val="1"/>
                <c:pt idx="0">
                  <c:v>Réalisé</c:v>
                </c:pt>
              </c:strCache>
            </c:strRef>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'Objectifs ECO'!$B$4:$B$10</c:f>
              <c:strCache>
                <c:ptCount val="7"/>
                <c:pt idx="0">
                  <c:v>Objectif territorial</c:v>
                </c:pt>
                <c:pt idx="1">
                  <c:v>Agriculture</c:v>
                </c:pt>
                <c:pt idx="2">
                  <c:v>Industrie</c:v>
                </c:pt>
                <c:pt idx="3">
                  <c:v>Logement</c:v>
                </c:pt>
                <c:pt idx="4">
                  <c:v>Tertiaire</c:v>
                </c:pt>
                <c:pt idx="5">
                  <c:v>Transport</c:v>
                </c:pt>
                <c:pt idx="6">
                  <c:v>Communal</c:v>
                </c:pt>
              </c:strCache>
            </c:strRef>
          </c:cat>
          <c:val>
            <c:numRef>
              <c:f>'Objectifs ECO'!$E$4:$E$10</c:f>
              <c:numCache>
                <c:formatCode>0</c:formatCode>
                <c:ptCount val="7"/>
                <c:pt idx="0">
                  <c:v>19804.53552517451</c:v>
                </c:pt>
                <c:pt idx="1">
                  <c:v>0</c:v>
                </c:pt>
                <c:pt idx="2">
                  <c:v>0</c:v>
                </c:pt>
                <c:pt idx="3">
                  <c:v>10763.675971461626</c:v>
                </c:pt>
                <c:pt idx="4">
                  <c:v>52.2</c:v>
                </c:pt>
                <c:pt idx="5">
                  <c:v>59.915153712881931</c:v>
                </c:pt>
                <c:pt idx="6">
                  <c:v>8928.7443999999996</c:v>
                </c:pt>
              </c:numCache>
            </c:numRef>
          </c:val>
        </c:ser>
        <c:dLbls>
          <c:showLegendKey val="0"/>
          <c:showVal val="0"/>
          <c:showCatName val="0"/>
          <c:showSerName val="0"/>
          <c:showPercent val="0"/>
          <c:showBubbleSize val="0"/>
        </c:dLbls>
        <c:gapWidth val="150"/>
        <c:axId val="183788544"/>
        <c:axId val="182946624"/>
      </c:barChart>
      <c:catAx>
        <c:axId val="183788544"/>
        <c:scaling>
          <c:orientation val="minMax"/>
        </c:scaling>
        <c:delete val="0"/>
        <c:axPos val="b"/>
        <c:numFmt formatCode="General" sourceLinked="0"/>
        <c:majorTickMark val="none"/>
        <c:minorTickMark val="none"/>
        <c:tickLblPos val="nextTo"/>
        <c:crossAx val="182946624"/>
        <c:crosses val="autoZero"/>
        <c:auto val="1"/>
        <c:lblAlgn val="ctr"/>
        <c:lblOffset val="100"/>
        <c:noMultiLvlLbl val="0"/>
      </c:catAx>
      <c:valAx>
        <c:axId val="182946624"/>
        <c:scaling>
          <c:orientation val="minMax"/>
          <c:min val="0"/>
        </c:scaling>
        <c:delete val="0"/>
        <c:axPos val="l"/>
        <c:majorGridlines/>
        <c:title>
          <c:tx>
            <c:rich>
              <a:bodyPr rot="0" vert="horz"/>
              <a:lstStyle/>
              <a:p>
                <a:pPr>
                  <a:defRPr/>
                </a:pPr>
                <a:r>
                  <a:rPr lang="en-US"/>
                  <a:t>MWh</a:t>
                </a:r>
              </a:p>
            </c:rich>
          </c:tx>
          <c:layout>
            <c:manualLayout>
              <c:xMode val="edge"/>
              <c:yMode val="edge"/>
              <c:x val="2.101010101010101E-2"/>
              <c:y val="3.8199093780989568E-2"/>
            </c:manualLayout>
          </c:layout>
          <c:overlay val="0"/>
        </c:title>
        <c:numFmt formatCode="#,##0" sourceLinked="0"/>
        <c:majorTickMark val="none"/>
        <c:minorTickMark val="none"/>
        <c:tickLblPos val="nextTo"/>
        <c:crossAx val="183788544"/>
        <c:crosses val="autoZero"/>
        <c:crossBetween val="between"/>
      </c:valAx>
    </c:plotArea>
    <c:legend>
      <c:legendPos val="r"/>
      <c:layout>
        <c:manualLayout>
          <c:xMode val="edge"/>
          <c:yMode val="edge"/>
          <c:x val="0.91136685861035416"/>
          <c:y val="3.0965973003374586E-2"/>
          <c:w val="8.0329065330711991E-2"/>
          <c:h val="0.10763638920134982"/>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fr-BE" sz="1600"/>
              <a:t>Energies</a:t>
            </a:r>
            <a:r>
              <a:rPr lang="fr-BE" sz="1600" baseline="0"/>
              <a:t> Renouvelables  </a:t>
            </a:r>
            <a:r>
              <a:rPr lang="fr-BE" sz="1600"/>
              <a:t>- HABAY - Objectifs et Réalisations</a:t>
            </a:r>
          </a:p>
        </c:rich>
      </c:tx>
      <c:layout>
        <c:manualLayout>
          <c:xMode val="edge"/>
          <c:yMode val="edge"/>
          <c:x val="0.12289419467727826"/>
          <c:y val="8.9285714285714281E-3"/>
        </c:manualLayout>
      </c:layout>
      <c:overlay val="0"/>
    </c:title>
    <c:autoTitleDeleted val="0"/>
    <c:plotArea>
      <c:layout>
        <c:manualLayout>
          <c:layoutTarget val="inner"/>
          <c:xMode val="edge"/>
          <c:yMode val="edge"/>
          <c:x val="6.7038786340311116E-2"/>
          <c:y val="0.13118321147356579"/>
          <c:w val="0.91496439923556405"/>
          <c:h val="0.80021067679040125"/>
        </c:manualLayout>
      </c:layout>
      <c:barChart>
        <c:barDir val="col"/>
        <c:grouping val="clustered"/>
        <c:varyColors val="0"/>
        <c:ser>
          <c:idx val="0"/>
          <c:order val="0"/>
          <c:tx>
            <c:v>Objectif</c:v>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'Objectifs PER'!$B$4:$B$10</c:f>
              <c:strCache>
                <c:ptCount val="7"/>
                <c:pt idx="0">
                  <c:v>Objectif territorial</c:v>
                </c:pt>
                <c:pt idx="1">
                  <c:v>Agriculture</c:v>
                </c:pt>
                <c:pt idx="2">
                  <c:v>Industrie</c:v>
                </c:pt>
                <c:pt idx="3">
                  <c:v>Logement</c:v>
                </c:pt>
                <c:pt idx="4">
                  <c:v>Tertiaire</c:v>
                </c:pt>
                <c:pt idx="5">
                  <c:v>Transport</c:v>
                </c:pt>
                <c:pt idx="6">
                  <c:v>Communal</c:v>
                </c:pt>
              </c:strCache>
            </c:strRef>
          </c:cat>
          <c:val>
            <c:numRef>
              <c:f>'Objectifs PER'!$C$4:$C$10</c:f>
              <c:numCache>
                <c:formatCode>_ * #,##0_ ;_ * \-#,##0_ ;_ * "-"??_ ;_ @_ </c:formatCode>
                <c:ptCount val="7"/>
                <c:pt idx="0" formatCode="0">
                  <c:v>31501.109160503103</c:v>
                </c:pt>
                <c:pt idx="1">
                  <c:v>9450.3327481509314</c:v>
                </c:pt>
                <c:pt idx="2">
                  <c:v>1575.0554580251553</c:v>
                </c:pt>
                <c:pt idx="3">
                  <c:v>9450.3327481509314</c:v>
                </c:pt>
                <c:pt idx="4">
                  <c:v>3150.1109160503106</c:v>
                </c:pt>
                <c:pt idx="5">
                  <c:v>4725.1663740754657</c:v>
                </c:pt>
                <c:pt idx="6">
                  <c:v>3150.1109160503106</c:v>
                </c:pt>
              </c:numCache>
            </c:numRef>
          </c:val>
        </c:ser>
        <c:ser>
          <c:idx val="1"/>
          <c:order val="1"/>
          <c:tx>
            <c:strRef>
              <c:f>'Objectifs PER'!$E$3</c:f>
              <c:strCache>
                <c:ptCount val="1"/>
                <c:pt idx="0">
                  <c:v>Réalisé</c:v>
                </c:pt>
              </c:strCache>
            </c:strRef>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'Objectifs PER'!$B$4:$B$10</c:f>
              <c:strCache>
                <c:ptCount val="7"/>
                <c:pt idx="0">
                  <c:v>Objectif territorial</c:v>
                </c:pt>
                <c:pt idx="1">
                  <c:v>Agriculture</c:v>
                </c:pt>
                <c:pt idx="2">
                  <c:v>Industrie</c:v>
                </c:pt>
                <c:pt idx="3">
                  <c:v>Logement</c:v>
                </c:pt>
                <c:pt idx="4">
                  <c:v>Tertiaire</c:v>
                </c:pt>
                <c:pt idx="5">
                  <c:v>Transport</c:v>
                </c:pt>
                <c:pt idx="6">
                  <c:v>Communal</c:v>
                </c:pt>
              </c:strCache>
            </c:strRef>
          </c:cat>
          <c:val>
            <c:numRef>
              <c:f>'Objectifs PER'!$E$4:$E$10</c:f>
              <c:numCache>
                <c:formatCode>0</c:formatCode>
                <c:ptCount val="7"/>
                <c:pt idx="0">
                  <c:v>14351.172427631704</c:v>
                </c:pt>
                <c:pt idx="1">
                  <c:v>0</c:v>
                </c:pt>
                <c:pt idx="2">
                  <c:v>20.936399999999999</c:v>
                </c:pt>
                <c:pt idx="3">
                  <c:v>8254.0079857308137</c:v>
                </c:pt>
                <c:pt idx="4">
                  <c:v>247.95</c:v>
                </c:pt>
                <c:pt idx="5">
                  <c:v>19.157576856440965</c:v>
                </c:pt>
                <c:pt idx="6">
                  <c:v>4351.3181999999997</c:v>
                </c:pt>
              </c:numCache>
            </c:numRef>
          </c:val>
        </c:ser>
        <c:dLbls>
          <c:showLegendKey val="0"/>
          <c:showVal val="0"/>
          <c:showCatName val="0"/>
          <c:showSerName val="0"/>
          <c:showPercent val="0"/>
          <c:showBubbleSize val="0"/>
        </c:dLbls>
        <c:gapWidth val="150"/>
        <c:axId val="183758848"/>
        <c:axId val="182948928"/>
      </c:barChart>
      <c:catAx>
        <c:axId val="183758848"/>
        <c:scaling>
          <c:orientation val="minMax"/>
        </c:scaling>
        <c:delete val="0"/>
        <c:axPos val="b"/>
        <c:numFmt formatCode="General" sourceLinked="0"/>
        <c:majorTickMark val="none"/>
        <c:minorTickMark val="none"/>
        <c:tickLblPos val="nextTo"/>
        <c:crossAx val="182948928"/>
        <c:crosses val="autoZero"/>
        <c:auto val="1"/>
        <c:lblAlgn val="ctr"/>
        <c:lblOffset val="100"/>
        <c:noMultiLvlLbl val="0"/>
      </c:catAx>
      <c:valAx>
        <c:axId val="182948928"/>
        <c:scaling>
          <c:orientation val="minMax"/>
          <c:min val="0"/>
        </c:scaling>
        <c:delete val="0"/>
        <c:axPos val="l"/>
        <c:majorGridlines/>
        <c:title>
          <c:tx>
            <c:rich>
              <a:bodyPr rot="0" vert="horz"/>
              <a:lstStyle/>
              <a:p>
                <a:pPr>
                  <a:defRPr/>
                </a:pPr>
                <a:r>
                  <a:rPr lang="en-US"/>
                  <a:t>MWh</a:t>
                </a:r>
              </a:p>
            </c:rich>
          </c:tx>
          <c:layout>
            <c:manualLayout>
              <c:xMode val="edge"/>
              <c:yMode val="edge"/>
              <c:x val="1.7998738671069509E-2"/>
              <c:y val="4.1890753556375851E-2"/>
            </c:manualLayout>
          </c:layout>
          <c:overlay val="0"/>
        </c:title>
        <c:numFmt formatCode="#,##0" sourceLinked="0"/>
        <c:majorTickMark val="none"/>
        <c:minorTickMark val="none"/>
        <c:tickLblPos val="nextTo"/>
        <c:crossAx val="183758848"/>
        <c:crosses val="autoZero"/>
        <c:crossBetween val="between"/>
      </c:valAx>
    </c:plotArea>
    <c:legend>
      <c:legendPos val="r"/>
      <c:layout>
        <c:manualLayout>
          <c:xMode val="edge"/>
          <c:yMode val="edge"/>
          <c:x val="0.89615773313506897"/>
          <c:y val="1.9061211098612675E-2"/>
          <c:w val="8.8778579483648187E-2"/>
          <c:h val="0.1076363892013498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en-US" sz="1200" baseline="0"/>
              <a:t> </a:t>
            </a:r>
            <a:r>
              <a:rPr lang="en-US" sz="1200"/>
              <a:t>budget 2015 - 2020 par porteur de projet</a:t>
            </a:r>
          </a:p>
        </c:rich>
      </c:tx>
      <c:layout>
        <c:manualLayout>
          <c:xMode val="edge"/>
          <c:yMode val="edge"/>
          <c:x val="0.44770144356955388"/>
          <c:y val="2.3148148148148147E-2"/>
        </c:manualLayout>
      </c:layout>
      <c:overlay val="0"/>
    </c:title>
    <c:autoTitleDeleted val="0"/>
    <c:plotArea>
      <c:layout>
        <c:manualLayout>
          <c:layoutTarget val="inner"/>
          <c:xMode val="edge"/>
          <c:yMode val="edge"/>
          <c:x val="0.13011636045494315"/>
          <c:y val="0.14199912510936133"/>
          <c:w val="0.51480052493438322"/>
          <c:h val="0.8580008748906387"/>
        </c:manualLayout>
      </c:layout>
      <c:pieChart>
        <c:varyColors val="1"/>
        <c:ser>
          <c:idx val="0"/>
          <c:order val="0"/>
          <c:tx>
            <c:strRef>
              <c:f>Budget!$H$3</c:f>
              <c:strCache>
                <c:ptCount val="1"/>
                <c:pt idx="0">
                  <c:v>%</c:v>
                </c:pt>
              </c:strCache>
            </c:strRef>
          </c:tx>
          <c:dPt>
            <c:idx val="0"/>
            <c:bubble3D val="0"/>
            <c:spPr>
              <a:solidFill>
                <a:srgbClr val="7030A0"/>
              </a:solidFill>
            </c:spPr>
          </c:dPt>
          <c:dPt>
            <c:idx val="1"/>
            <c:bubble3D val="0"/>
            <c:spPr>
              <a:solidFill>
                <a:srgbClr val="03F71A"/>
              </a:solidFill>
            </c:spPr>
          </c:dPt>
          <c:dPt>
            <c:idx val="2"/>
            <c:bubble3D val="0"/>
            <c:spPr>
              <a:solidFill>
                <a:srgbClr val="FF0000"/>
              </a:solidFill>
            </c:spPr>
          </c:dPt>
          <c:dPt>
            <c:idx val="3"/>
            <c:bubble3D val="0"/>
            <c:spPr>
              <a:solidFill>
                <a:srgbClr val="0070C0"/>
              </a:solidFill>
            </c:spPr>
          </c:dPt>
          <c:dPt>
            <c:idx val="4"/>
            <c:bubble3D val="0"/>
            <c:spPr>
              <a:solidFill>
                <a:srgbClr val="00B0F0"/>
              </a:solidFill>
            </c:spPr>
          </c:dPt>
          <c:dPt>
            <c:idx val="5"/>
            <c:bubble3D val="0"/>
            <c:spPr>
              <a:solidFill>
                <a:srgbClr val="C00000"/>
              </a:solidFill>
            </c:spPr>
          </c:dPt>
          <c:dLbls>
            <c:dLbl>
              <c:idx val="0"/>
              <c:layout>
                <c:manualLayout>
                  <c:x val="6.6159230096237967E-3"/>
                  <c:y val="1.5368183143773674E-2"/>
                </c:manualLayout>
              </c:layout>
              <c:showLegendKey val="0"/>
              <c:showVal val="1"/>
              <c:showCatName val="0"/>
              <c:showSerName val="0"/>
              <c:showPercent val="0"/>
              <c:showBubbleSize val="0"/>
            </c:dLbl>
            <c:dLbl>
              <c:idx val="2"/>
              <c:layout>
                <c:manualLayout>
                  <c:x val="0.1053086176727909"/>
                  <c:y val="-7.2157334499854189E-2"/>
                </c:manualLayout>
              </c:layout>
              <c:showLegendKey val="0"/>
              <c:showVal val="1"/>
              <c:showCatName val="0"/>
              <c:showSerName val="0"/>
              <c:showPercent val="0"/>
              <c:showBubbleSize val="0"/>
            </c:dLbl>
            <c:dLbl>
              <c:idx val="4"/>
              <c:layout>
                <c:manualLayout>
                  <c:x val="-1.3263123359580053E-2"/>
                  <c:y val="5.4259259259259257E-2"/>
                </c:manualLayout>
              </c:layout>
              <c:showLegendKey val="0"/>
              <c:showVal val="1"/>
              <c:showCatName val="0"/>
              <c:showSerName val="0"/>
              <c:showPercent val="0"/>
              <c:showBubbleSize val="0"/>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numRef>
              <c:f>Budget!$C$4:$C$9</c:f>
              <c:numCache>
                <c:formatCode>_-* #,##0\ [$€-40C]_-;\-* #,##0\ [$€-40C]_-;_-* "-"??\ [$€-40C]_-;_-@_-</c:formatCode>
                <c:ptCount val="6"/>
                <c:pt idx="0">
                  <c:v>2878737</c:v>
                </c:pt>
                <c:pt idx="1">
                  <c:v>0</c:v>
                </c:pt>
                <c:pt idx="2">
                  <c:v>17183136.880772762</c:v>
                </c:pt>
                <c:pt idx="3">
                  <c:v>456814.5820238844</c:v>
                </c:pt>
                <c:pt idx="4">
                  <c:v>195000</c:v>
                </c:pt>
                <c:pt idx="5">
                  <c:v>824200</c:v>
                </c:pt>
              </c:numCache>
            </c:numRef>
          </c:cat>
          <c:val>
            <c:numRef>
              <c:f>Budget!$H$4:$H$9</c:f>
              <c:numCache>
                <c:formatCode>0.0%</c:formatCode>
                <c:ptCount val="6"/>
                <c:pt idx="0">
                  <c:v>0.1336592027102643</c:v>
                </c:pt>
                <c:pt idx="1">
                  <c:v>0</c:v>
                </c:pt>
                <c:pt idx="2">
                  <c:v>0.79780972542661077</c:v>
                </c:pt>
                <c:pt idx="3">
                  <c:v>2.1209812782388607E-2</c:v>
                </c:pt>
                <c:pt idx="4">
                  <c:v>9.0538123241204523E-3</c:v>
                </c:pt>
                <c:pt idx="5">
                  <c:v>3.8267446756615781E-2</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spPr>
    <a:gradFill>
      <a:gsLst>
        <a:gs pos="0">
          <a:srgbClr val="FFC000">
            <a:alpha val="37000"/>
          </a:srgbClr>
        </a:gs>
        <a:gs pos="100000">
          <a:schemeClr val="bg1"/>
        </a:gs>
      </a:gsLst>
      <a:lin ang="5400000" scaled="0"/>
    </a:gradFill>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 budget 2015 - 2020</a:t>
            </a:r>
            <a:r>
              <a:rPr lang="en-US" sz="1200" baseline="0"/>
              <a:t> </a:t>
            </a:r>
            <a:r>
              <a:rPr lang="en-US" sz="1200"/>
              <a:t>par secteur</a:t>
            </a:r>
          </a:p>
        </c:rich>
      </c:tx>
      <c:layout>
        <c:manualLayout>
          <c:xMode val="edge"/>
          <c:yMode val="edge"/>
          <c:x val="0.5441111111111111"/>
          <c:y val="1.3888888888888888E-2"/>
        </c:manualLayout>
      </c:layout>
      <c:overlay val="0"/>
    </c:title>
    <c:autoTitleDeleted val="0"/>
    <c:plotArea>
      <c:layout>
        <c:manualLayout>
          <c:layoutTarget val="inner"/>
          <c:xMode val="edge"/>
          <c:yMode val="edge"/>
          <c:x val="0.11111570428696413"/>
          <c:y val="0.12749562554680663"/>
          <c:w val="0.52350262467191599"/>
          <c:h val="0.8725043744531934"/>
        </c:manualLayout>
      </c:layout>
      <c:pieChart>
        <c:varyColors val="1"/>
        <c:ser>
          <c:idx val="0"/>
          <c:order val="0"/>
          <c:tx>
            <c:strRef>
              <c:f>Budget!$I$15</c:f>
              <c:strCache>
                <c:ptCount val="1"/>
              </c:strCache>
            </c:strRef>
          </c:tx>
          <c:dPt>
            <c:idx val="0"/>
            <c:bubble3D val="0"/>
            <c:spPr>
              <a:solidFill>
                <a:srgbClr val="0070C0"/>
              </a:solidFill>
            </c:spPr>
          </c:dPt>
          <c:dPt>
            <c:idx val="1"/>
            <c:bubble3D val="0"/>
            <c:spPr>
              <a:solidFill>
                <a:srgbClr val="03F71A"/>
              </a:solidFill>
            </c:spPr>
          </c:dPt>
          <c:dPt>
            <c:idx val="2"/>
            <c:bubble3D val="0"/>
            <c:spPr>
              <a:solidFill>
                <a:srgbClr val="00B0F0"/>
              </a:solidFill>
            </c:spPr>
          </c:dPt>
          <c:dPt>
            <c:idx val="3"/>
            <c:bubble3D val="0"/>
            <c:spPr>
              <a:solidFill>
                <a:srgbClr val="FF0000"/>
              </a:solidFill>
            </c:spPr>
          </c:dPt>
          <c:dPt>
            <c:idx val="4"/>
            <c:bubble3D val="0"/>
            <c:spPr>
              <a:solidFill>
                <a:srgbClr val="C00000"/>
              </a:solidFill>
            </c:spPr>
          </c:dPt>
          <c:dPt>
            <c:idx val="5"/>
            <c:bubble3D val="0"/>
            <c:spPr>
              <a:solidFill>
                <a:srgbClr val="FFC000"/>
              </a:solidFill>
            </c:spPr>
          </c:dPt>
          <c:dPt>
            <c:idx val="6"/>
            <c:bubble3D val="0"/>
            <c:spPr>
              <a:solidFill>
                <a:srgbClr val="7030A0"/>
              </a:solidFill>
            </c:spPr>
          </c:dPt>
          <c:dLbls>
            <c:dLbl>
              <c:idx val="2"/>
              <c:layout>
                <c:manualLayout>
                  <c:x val="1.9338801399825023E-2"/>
                  <c:y val="3.5050670749489692E-2"/>
                </c:manualLayout>
              </c:layout>
              <c:showLegendKey val="0"/>
              <c:showVal val="1"/>
              <c:showCatName val="0"/>
              <c:showSerName val="0"/>
              <c:showPercent val="0"/>
              <c:showBubbleSize val="0"/>
            </c:dLbl>
            <c:dLbl>
              <c:idx val="3"/>
              <c:layout>
                <c:manualLayout>
                  <c:x val="-0.16229790026246718"/>
                  <c:y val="-8.2650189559638376E-2"/>
                </c:manualLayout>
              </c:layout>
              <c:showLegendKey val="0"/>
              <c:showVal val="1"/>
              <c:showCatName val="0"/>
              <c:showSerName val="0"/>
              <c:showPercent val="0"/>
              <c:showBubbleSize val="0"/>
            </c:dLbl>
            <c:dLbl>
              <c:idx val="4"/>
              <c:layout>
                <c:manualLayout>
                  <c:x val="9.6281714785651797E-4"/>
                  <c:y val="1.7695027704870223E-2"/>
                </c:manualLayout>
              </c:layout>
              <c:showLegendKey val="0"/>
              <c:showVal val="1"/>
              <c:showCatName val="0"/>
              <c:showSerName val="0"/>
              <c:showPercent val="0"/>
              <c:showBubbleSize val="0"/>
            </c:dLbl>
            <c:dLbl>
              <c:idx val="5"/>
              <c:layout>
                <c:manualLayout>
                  <c:x val="-5.1888670166229224E-3"/>
                  <c:y val="1.198344998541849E-2"/>
                </c:manualLayout>
              </c:layout>
              <c:showLegendKey val="0"/>
              <c:showVal val="1"/>
              <c:showCatName val="0"/>
              <c:showSerName val="0"/>
              <c:showPercent val="0"/>
              <c:showBubbleSize val="0"/>
            </c:dLbl>
            <c:dLbl>
              <c:idx val="6"/>
              <c:layout>
                <c:manualLayout>
                  <c:x val="-1.5524715660542433E-2"/>
                  <c:y val="6.0717410323709534E-3"/>
                </c:manualLayout>
              </c:layout>
              <c:showLegendKey val="0"/>
              <c:showVal val="1"/>
              <c:showCatName val="0"/>
              <c:showSerName val="0"/>
              <c:showPercent val="0"/>
              <c:showBubbleSize val="0"/>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numRef>
              <c:f>Budget!$C$16:$C$22</c:f>
              <c:numCache>
                <c:formatCode>_-* #,##0\ [$€-40C]_-;\-* #,##0\ [$€-40C]_-;_-* "-"??\ [$€-40C]_-;_-@_-</c:formatCode>
                <c:ptCount val="7"/>
                <c:pt idx="0">
                  <c:v>0</c:v>
                </c:pt>
                <c:pt idx="1">
                  <c:v>195000</c:v>
                </c:pt>
                <c:pt idx="2">
                  <c:v>16614506.712063517</c:v>
                </c:pt>
                <c:pt idx="3">
                  <c:v>824200</c:v>
                </c:pt>
                <c:pt idx="4">
                  <c:v>588630.16870924423</c:v>
                </c:pt>
                <c:pt idx="5">
                  <c:v>2703737</c:v>
                </c:pt>
                <c:pt idx="6">
                  <c:v>21537888.462796647</c:v>
                </c:pt>
              </c:numCache>
            </c:numRef>
          </c:cat>
          <c:val>
            <c:numRef>
              <c:f>Budget!$I$16:$I$22</c:f>
              <c:numCache>
                <c:formatCode>General</c:formatCode>
                <c:ptCount val="7"/>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spPr>
    <a:gradFill>
      <a:gsLst>
        <a:gs pos="0">
          <a:srgbClr val="FFC000">
            <a:alpha val="37000"/>
          </a:srgbClr>
        </a:gs>
        <a:gs pos="100000">
          <a:schemeClr val="bg1"/>
        </a:gs>
      </a:gsLst>
      <a:lin ang="5400000" scaled="0"/>
    </a:gradFill>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fr-BE" sz="1200"/>
              <a:t>% invest / porteur de projet - déjà réalisé</a:t>
            </a:r>
          </a:p>
        </c:rich>
      </c:tx>
      <c:layout>
        <c:manualLayout>
          <c:xMode val="edge"/>
          <c:yMode val="edge"/>
          <c:x val="0.30860411198600174"/>
          <c:y val="9.2592592592592587E-3"/>
        </c:manualLayout>
      </c:layout>
      <c:overlay val="0"/>
    </c:title>
    <c:autoTitleDeleted val="0"/>
    <c:plotArea>
      <c:layout>
        <c:manualLayout>
          <c:layoutTarget val="inner"/>
          <c:xMode val="edge"/>
          <c:yMode val="edge"/>
          <c:x val="0.10094378827646544"/>
          <c:y val="0.19487131816856226"/>
          <c:w val="0.48494619422572177"/>
          <c:h val="0.80512868183143771"/>
        </c:manualLayout>
      </c:layout>
      <c:pieChart>
        <c:varyColors val="1"/>
        <c:ser>
          <c:idx val="0"/>
          <c:order val="0"/>
          <c:tx>
            <c:strRef>
              <c:f>'[1]BUDGET ATTE'!$H$3</c:f>
              <c:strCache>
                <c:ptCount val="1"/>
                <c:pt idx="0">
                  <c:v>%</c:v>
                </c:pt>
              </c:strCache>
            </c:strRef>
          </c:tx>
          <c:dPt>
            <c:idx val="0"/>
            <c:bubble3D val="0"/>
            <c:spPr>
              <a:solidFill>
                <a:srgbClr val="0070C0"/>
              </a:solidFill>
            </c:spPr>
          </c:dPt>
          <c:dPt>
            <c:idx val="1"/>
            <c:bubble3D val="0"/>
            <c:spPr>
              <a:solidFill>
                <a:srgbClr val="99FF99"/>
              </a:solidFill>
            </c:spPr>
          </c:dPt>
          <c:dPt>
            <c:idx val="2"/>
            <c:bubble3D val="0"/>
            <c:spPr>
              <a:solidFill>
                <a:srgbClr val="FF0000"/>
              </a:solidFill>
            </c:spPr>
          </c:dPt>
          <c:dPt>
            <c:idx val="4"/>
            <c:bubble3D val="0"/>
            <c:spPr>
              <a:solidFill>
                <a:srgbClr val="FFFF00"/>
              </a:solidFill>
            </c:spPr>
          </c:dPt>
          <c:dPt>
            <c:idx val="5"/>
            <c:bubble3D val="0"/>
            <c:spPr>
              <a:solidFill>
                <a:srgbClr val="00B0F0"/>
              </a:solidFill>
            </c:spPr>
          </c:dPt>
          <c:dLbls>
            <c:dLbl>
              <c:idx val="0"/>
              <c:layout>
                <c:manualLayout>
                  <c:x val="1.5239501312335856E-2"/>
                  <c:y val="0"/>
                </c:manualLayout>
              </c:layout>
              <c:showLegendKey val="0"/>
              <c:showVal val="1"/>
              <c:showCatName val="1"/>
              <c:showSerName val="0"/>
              <c:showPercent val="0"/>
              <c:showBubbleSize val="0"/>
              <c:separator> </c:separator>
            </c:dLbl>
            <c:dLbl>
              <c:idx val="1"/>
              <c:showLegendKey val="0"/>
              <c:showVal val="1"/>
              <c:showCatName val="1"/>
              <c:showSerName val="0"/>
              <c:showPercent val="0"/>
              <c:showBubbleSize val="0"/>
            </c:dLbl>
            <c:dLbl>
              <c:idx val="2"/>
              <c:layout>
                <c:manualLayout>
                  <c:x val="0"/>
                  <c:y val="2.6591207349081363E-2"/>
                </c:manualLayout>
              </c:layout>
              <c:showLegendKey val="0"/>
              <c:showVal val="1"/>
              <c:showCatName val="1"/>
              <c:showSerName val="0"/>
              <c:showPercent val="0"/>
              <c:showBubbleSize val="0"/>
              <c:separator> </c:separator>
            </c:dLbl>
            <c:dLbl>
              <c:idx val="4"/>
              <c:showLegendKey val="0"/>
              <c:showVal val="1"/>
              <c:showCatName val="1"/>
              <c:showSerName val="0"/>
              <c:showPercent val="0"/>
              <c:showBubbleSize val="0"/>
            </c:dLbl>
            <c:dLbl>
              <c:idx val="5"/>
              <c:showLegendKey val="0"/>
              <c:showVal val="1"/>
              <c:showCatName val="1"/>
              <c:showSerName val="0"/>
              <c:showPercent val="0"/>
              <c:showBubbleSize val="0"/>
            </c:dLbl>
            <c:showLegendKey val="0"/>
            <c:showVal val="1"/>
            <c:showCatName val="1"/>
            <c:showSerName val="0"/>
            <c:showPercent val="0"/>
            <c:showBubbleSize val="0"/>
            <c:separator> </c:separator>
            <c:showLeaderLines val="0"/>
          </c:dLbls>
          <c:cat>
            <c:strRef>
              <c:f>'[1]BUDGET ATTE'!$B$4:$B$9</c:f>
              <c:strCache>
                <c:ptCount val="6"/>
                <c:pt idx="0">
                  <c:v>AC WELLIN</c:v>
                </c:pt>
                <c:pt idx="1">
                  <c:v>Agriculteurs</c:v>
                </c:pt>
                <c:pt idx="2">
                  <c:v>Citoyens</c:v>
                </c:pt>
                <c:pt idx="3">
                  <c:v>IDELUX</c:v>
                </c:pt>
                <c:pt idx="4">
                  <c:v>Industrie</c:v>
                </c:pt>
                <c:pt idx="5">
                  <c:v>Tertiaire</c:v>
                </c:pt>
              </c:strCache>
            </c:strRef>
          </c:cat>
          <c:val>
            <c:numRef>
              <c:f>'[1]BUDGET ATTE'!$H$4:$H$9</c:f>
              <c:numCache>
                <c:formatCode>General</c:formatCode>
                <c:ptCount val="6"/>
                <c:pt idx="0">
                  <c:v>0.12835589214005197</c:v>
                </c:pt>
                <c:pt idx="1">
                  <c:v>0</c:v>
                </c:pt>
                <c:pt idx="2">
                  <c:v>0.78227605582323623</c:v>
                </c:pt>
                <c:pt idx="3">
                  <c:v>2.7002218536832861E-2</c:v>
                </c:pt>
                <c:pt idx="4">
                  <c:v>4.8696574052392257E-2</c:v>
                </c:pt>
                <c:pt idx="5">
                  <c:v>1.3669259447486707E-2</c:v>
                </c:pt>
              </c:numCache>
            </c:numRef>
          </c:val>
        </c:ser>
        <c:dLbls>
          <c:showLegendKey val="0"/>
          <c:showVal val="0"/>
          <c:showCatName val="0"/>
          <c:showSerName val="0"/>
          <c:showPercent val="0"/>
          <c:showBubbleSize val="0"/>
          <c:showLeaderLines val="0"/>
        </c:dLbls>
        <c:firstSliceAng val="72"/>
      </c:pieChart>
    </c:plotArea>
    <c:plotVisOnly val="1"/>
    <c:dispBlanksAs val="gap"/>
    <c:showDLblsOverMax val="0"/>
  </c:chart>
  <c:spPr>
    <a:gradFill>
      <a:gsLst>
        <a:gs pos="0">
          <a:srgbClr val="FFC000">
            <a:alpha val="57000"/>
          </a:srgbClr>
        </a:gs>
        <a:gs pos="100000">
          <a:schemeClr val="bg1"/>
        </a:gs>
      </a:gsLst>
      <a:lin ang="5400000" scaled="0"/>
    </a:gradFill>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fr-BE" sz="1200"/>
              <a:t>% invest / secteur - déjà réalisé</a:t>
            </a:r>
          </a:p>
        </c:rich>
      </c:tx>
      <c:overlay val="0"/>
    </c:title>
    <c:autoTitleDeleted val="0"/>
    <c:plotArea>
      <c:layout>
        <c:manualLayout>
          <c:layoutTarget val="inner"/>
          <c:xMode val="edge"/>
          <c:yMode val="edge"/>
          <c:x val="9.2601268591426075E-2"/>
          <c:y val="0.16246391076115485"/>
          <c:w val="0.50252165354330713"/>
          <c:h val="0.83753608923884515"/>
        </c:manualLayout>
      </c:layout>
      <c:pieChart>
        <c:varyColors val="1"/>
        <c:ser>
          <c:idx val="0"/>
          <c:order val="0"/>
          <c:tx>
            <c:strRef>
              <c:f>'[1]BUDGET ATTE'!$H$14</c:f>
              <c:strCache>
                <c:ptCount val="1"/>
                <c:pt idx="0">
                  <c:v>%</c:v>
                </c:pt>
              </c:strCache>
            </c:strRef>
          </c:tx>
          <c:spPr>
            <a:solidFill>
              <a:srgbClr val="0070C0"/>
            </a:solidFill>
          </c:spPr>
          <c:dPt>
            <c:idx val="0"/>
            <c:bubble3D val="0"/>
            <c:spPr>
              <a:solidFill>
                <a:srgbClr val="7030A0"/>
              </a:solidFill>
            </c:spPr>
          </c:dPt>
          <c:dPt>
            <c:idx val="1"/>
            <c:bubble3D val="0"/>
          </c:dPt>
          <c:dPt>
            <c:idx val="2"/>
            <c:bubble3D val="0"/>
            <c:spPr>
              <a:solidFill>
                <a:srgbClr val="19F608"/>
              </a:solidFill>
            </c:spPr>
          </c:dPt>
          <c:dPt>
            <c:idx val="3"/>
            <c:bubble3D val="0"/>
            <c:spPr>
              <a:solidFill>
                <a:srgbClr val="FF0000"/>
              </a:solidFill>
            </c:spPr>
          </c:dPt>
          <c:dPt>
            <c:idx val="4"/>
            <c:bubble3D val="0"/>
          </c:dPt>
          <c:dPt>
            <c:idx val="5"/>
            <c:bubble3D val="0"/>
          </c:dPt>
          <c:dPt>
            <c:idx val="6"/>
            <c:bubble3D val="0"/>
          </c:dPt>
          <c:dLbls>
            <c:dLbl>
              <c:idx val="1"/>
              <c:showLegendKey val="0"/>
              <c:showVal val="1"/>
              <c:showCatName val="1"/>
              <c:showSerName val="0"/>
              <c:showPercent val="0"/>
              <c:showBubbleSize val="0"/>
            </c:dLbl>
            <c:dLbl>
              <c:idx val="2"/>
              <c:showLegendKey val="0"/>
              <c:showVal val="1"/>
              <c:showCatName val="1"/>
              <c:showSerName val="0"/>
              <c:showPercent val="0"/>
              <c:showBubbleSize val="0"/>
            </c:dLbl>
            <c:dLbl>
              <c:idx val="3"/>
              <c:layout>
                <c:manualLayout>
                  <c:x val="0.36532720909886263"/>
                  <c:y val="-4.9048920968212305E-2"/>
                </c:manualLayout>
              </c:layout>
              <c:showLegendKey val="1"/>
              <c:showVal val="1"/>
              <c:showCatName val="1"/>
              <c:showSerName val="0"/>
              <c:showPercent val="0"/>
              <c:showBubbleSize val="0"/>
              <c:separator> </c:separator>
            </c:dLbl>
            <c:dLbl>
              <c:idx val="4"/>
              <c:showLegendKey val="0"/>
              <c:showVal val="1"/>
              <c:showCatName val="1"/>
              <c:showSerName val="0"/>
              <c:showPercent val="0"/>
              <c:showBubbleSize val="0"/>
            </c:dLbl>
            <c:dLbl>
              <c:idx val="5"/>
              <c:showLegendKey val="0"/>
              <c:showVal val="1"/>
              <c:showCatName val="1"/>
              <c:showSerName val="0"/>
              <c:showPercent val="0"/>
              <c:showBubbleSize val="0"/>
            </c:dLbl>
            <c:dLbl>
              <c:idx val="6"/>
              <c:layout>
                <c:manualLayout>
                  <c:x val="-0.16568372703412074"/>
                  <c:y val="0.14002515310586178"/>
                </c:manualLayout>
              </c:layout>
              <c:showLegendKey val="1"/>
              <c:showVal val="1"/>
              <c:showCatName val="1"/>
              <c:showSerName val="0"/>
              <c:showPercent val="0"/>
              <c:showBubbleSize val="0"/>
              <c:separator> </c:separator>
            </c:dLbl>
            <c:showLegendKey val="1"/>
            <c:showVal val="1"/>
            <c:showCatName val="1"/>
            <c:showSerName val="0"/>
            <c:showPercent val="0"/>
            <c:showBubbleSize val="0"/>
            <c:separator> </c:separator>
            <c:showLeaderLines val="1"/>
          </c:dLbls>
          <c:cat>
            <c:strRef>
              <c:f>'[1]BUDGET ATTE'!$B$15:$B$21</c:f>
              <c:strCache>
                <c:ptCount val="7"/>
                <c:pt idx="0">
                  <c:v>Territorial</c:v>
                </c:pt>
                <c:pt idx="1">
                  <c:v>Agriculture</c:v>
                </c:pt>
                <c:pt idx="2">
                  <c:v>Industrie</c:v>
                </c:pt>
                <c:pt idx="3">
                  <c:v>Logement</c:v>
                </c:pt>
                <c:pt idx="4">
                  <c:v>Tertiaire</c:v>
                </c:pt>
                <c:pt idx="5">
                  <c:v>Transport</c:v>
                </c:pt>
                <c:pt idx="6">
                  <c:v>Communal</c:v>
                </c:pt>
              </c:strCache>
            </c:strRef>
          </c:cat>
          <c:val>
            <c:numRef>
              <c:f>'[1]BUDGET ATTE'!$H$15:$H$21</c:f>
              <c:numCache>
                <c:formatCode>General</c:formatCode>
                <c:ptCount val="7"/>
                <c:pt idx="0">
                  <c:v>5.4215468432726802E-2</c:v>
                </c:pt>
                <c:pt idx="1">
                  <c:v>0</c:v>
                </c:pt>
                <c:pt idx="2">
                  <c:v>4.8696574052392257E-2</c:v>
                </c:pt>
                <c:pt idx="3">
                  <c:v>0.74804026986984662</c:v>
                </c:pt>
                <c:pt idx="4">
                  <c:v>1.3669259447486707E-2</c:v>
                </c:pt>
                <c:pt idx="5">
                  <c:v>3.4235785953389587E-2</c:v>
                </c:pt>
                <c:pt idx="6">
                  <c:v>0.10114264224415803</c:v>
                </c:pt>
              </c:numCache>
            </c:numRef>
          </c:val>
        </c:ser>
        <c:dLbls>
          <c:showLegendKey val="0"/>
          <c:showVal val="0"/>
          <c:showCatName val="0"/>
          <c:showSerName val="0"/>
          <c:showPercent val="0"/>
          <c:showBubbleSize val="0"/>
          <c:showLeaderLines val="1"/>
        </c:dLbls>
        <c:firstSliceAng val="73"/>
      </c:pieChart>
    </c:plotArea>
    <c:plotVisOnly val="1"/>
    <c:dispBlanksAs val="gap"/>
    <c:showDLblsOverMax val="0"/>
  </c:chart>
  <c:spPr>
    <a:gradFill>
      <a:gsLst>
        <a:gs pos="0">
          <a:srgbClr val="FFC000">
            <a:alpha val="57000"/>
          </a:srgbClr>
        </a:gs>
        <a:gs pos="100000">
          <a:schemeClr val="bg1"/>
        </a:gs>
      </a:gsLst>
      <a:lin ang="5400000" scaled="0"/>
    </a:gradFill>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Budget 2016-2030 - porteur de projet</a:t>
            </a:r>
          </a:p>
        </c:rich>
      </c:tx>
      <c:layout>
        <c:manualLayout>
          <c:xMode val="edge"/>
          <c:yMode val="edge"/>
          <c:x val="0.40355555555555556"/>
          <c:y val="1.8518518518518517E-2"/>
        </c:manualLayout>
      </c:layout>
      <c:overlay val="0"/>
    </c:title>
    <c:autoTitleDeleted val="0"/>
    <c:plotArea>
      <c:layout>
        <c:manualLayout>
          <c:layoutTarget val="inner"/>
          <c:xMode val="edge"/>
          <c:yMode val="edge"/>
          <c:x val="0.11003324584426945"/>
          <c:y val="0.19095764071157773"/>
          <c:w val="0.48542541557305335"/>
          <c:h val="0.80904235928842227"/>
        </c:manualLayout>
      </c:layout>
      <c:pieChart>
        <c:varyColors val="1"/>
        <c:ser>
          <c:idx val="0"/>
          <c:order val="0"/>
          <c:tx>
            <c:strRef>
              <c:f>'[1]BUDGET ATTE'!$H$26</c:f>
              <c:strCache>
                <c:ptCount val="1"/>
                <c:pt idx="0">
                  <c:v>%</c:v>
                </c:pt>
              </c:strCache>
            </c:strRef>
          </c:tx>
          <c:dPt>
            <c:idx val="0"/>
            <c:bubble3D val="0"/>
            <c:spPr>
              <a:solidFill>
                <a:srgbClr val="0070C0"/>
              </a:solidFill>
            </c:spPr>
          </c:dPt>
          <c:dPt>
            <c:idx val="1"/>
            <c:bubble3D val="0"/>
            <c:spPr>
              <a:solidFill>
                <a:srgbClr val="0BE325"/>
              </a:solidFill>
            </c:spPr>
          </c:dPt>
          <c:dPt>
            <c:idx val="2"/>
            <c:bubble3D val="0"/>
            <c:spPr>
              <a:solidFill>
                <a:srgbClr val="FF0000"/>
              </a:solidFill>
            </c:spPr>
          </c:dPt>
          <c:dPt>
            <c:idx val="4"/>
            <c:bubble3D val="0"/>
            <c:spPr>
              <a:solidFill>
                <a:srgbClr val="00B0F0"/>
              </a:solidFill>
            </c:spPr>
          </c:dPt>
          <c:dPt>
            <c:idx val="5"/>
            <c:bubble3D val="0"/>
            <c:spPr>
              <a:solidFill>
                <a:srgbClr val="C00000"/>
              </a:solidFill>
            </c:spPr>
          </c:dPt>
          <c:dLbls>
            <c:dLbl>
              <c:idx val="0"/>
              <c:layout>
                <c:manualLayout>
                  <c:x val="-3.2684711286089241E-2"/>
                  <c:y val="-0.10526356080489939"/>
                </c:manualLayout>
              </c:layout>
              <c:showLegendKey val="1"/>
              <c:showVal val="1"/>
              <c:showCatName val="1"/>
              <c:showSerName val="0"/>
              <c:showPercent val="0"/>
              <c:showBubbleSize val="0"/>
              <c:separator> </c:separator>
            </c:dLbl>
            <c:dLbl>
              <c:idx val="2"/>
              <c:layout>
                <c:manualLayout>
                  <c:x val="0"/>
                  <c:y val="-0.35947433654126565"/>
                </c:manualLayout>
              </c:layout>
              <c:showLegendKey val="1"/>
              <c:showVal val="1"/>
              <c:showCatName val="1"/>
              <c:showSerName val="0"/>
              <c:showPercent val="0"/>
              <c:showBubbleSize val="0"/>
              <c:separator> </c:separator>
            </c:dLbl>
            <c:showLegendKey val="1"/>
            <c:showVal val="1"/>
            <c:showCatName val="1"/>
            <c:showSerName val="0"/>
            <c:showPercent val="0"/>
            <c:showBubbleSize val="0"/>
            <c:separator> </c:separator>
            <c:showLeaderLines val="1"/>
          </c:dLbls>
          <c:cat>
            <c:strRef>
              <c:f>'[1]BUDGET ATTE'!$B$27:$B$32</c:f>
              <c:strCache>
                <c:ptCount val="6"/>
                <c:pt idx="0">
                  <c:v>AC WELLIN</c:v>
                </c:pt>
                <c:pt idx="1">
                  <c:v>Agriculteurs</c:v>
                </c:pt>
                <c:pt idx="2">
                  <c:v>Citoyens</c:v>
                </c:pt>
                <c:pt idx="3">
                  <c:v>IDELUX</c:v>
                </c:pt>
                <c:pt idx="4">
                  <c:v>Industrie</c:v>
                </c:pt>
                <c:pt idx="5">
                  <c:v>Tertiaire</c:v>
                </c:pt>
              </c:strCache>
            </c:strRef>
          </c:cat>
          <c:val>
            <c:numRef>
              <c:f>'[1]BUDGET ATTE'!$H$27:$H$32</c:f>
              <c:numCache>
                <c:formatCode>General</c:formatCode>
                <c:ptCount val="6"/>
                <c:pt idx="0">
                  <c:v>0.18620100320844216</c:v>
                </c:pt>
                <c:pt idx="1">
                  <c:v>3.9132740640246695E-2</c:v>
                </c:pt>
                <c:pt idx="2">
                  <c:v>0.70852595063131651</c:v>
                </c:pt>
                <c:pt idx="3">
                  <c:v>0</c:v>
                </c:pt>
                <c:pt idx="4">
                  <c:v>2.7646819880037834E-2</c:v>
                </c:pt>
                <c:pt idx="5">
                  <c:v>3.8493485639956797E-2</c:v>
                </c:pt>
              </c:numCache>
            </c:numRef>
          </c:val>
        </c:ser>
        <c:dLbls>
          <c:showLegendKey val="0"/>
          <c:showVal val="0"/>
          <c:showCatName val="0"/>
          <c:showSerName val="0"/>
          <c:showPercent val="0"/>
          <c:showBubbleSize val="0"/>
          <c:showLeaderLines val="1"/>
        </c:dLbls>
        <c:firstSliceAng val="57"/>
      </c:pieChart>
    </c:plotArea>
    <c:plotVisOnly val="1"/>
    <c:dispBlanksAs val="gap"/>
    <c:showDLblsOverMax val="0"/>
  </c:chart>
  <c:spPr>
    <a:gradFill>
      <a:gsLst>
        <a:gs pos="0">
          <a:srgbClr val="FFC000">
            <a:alpha val="57000"/>
          </a:srgbClr>
        </a:gs>
        <a:gs pos="100000">
          <a:schemeClr val="bg1"/>
        </a:gs>
      </a:gsLst>
      <a:lin ang="5400000" scaled="0"/>
    </a:gradFill>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Budget 2016-2030 - secteur</a:t>
            </a:r>
          </a:p>
        </c:rich>
      </c:tx>
      <c:layout>
        <c:manualLayout>
          <c:xMode val="edge"/>
          <c:yMode val="edge"/>
          <c:x val="0.55274300087489059"/>
          <c:y val="9.2592592592592587E-3"/>
        </c:manualLayout>
      </c:layout>
      <c:overlay val="0"/>
    </c:title>
    <c:autoTitleDeleted val="0"/>
    <c:plotArea>
      <c:layout>
        <c:manualLayout>
          <c:layoutTarget val="inner"/>
          <c:xMode val="edge"/>
          <c:yMode val="edge"/>
          <c:x val="8.5115485564304469E-2"/>
          <c:y val="0.17706875182268886"/>
          <c:w val="0.49375874890638671"/>
          <c:h val="0.82293124817731111"/>
        </c:manualLayout>
      </c:layout>
      <c:pieChart>
        <c:varyColors val="1"/>
        <c:ser>
          <c:idx val="0"/>
          <c:order val="0"/>
          <c:tx>
            <c:strRef>
              <c:f>'[1]BUDGET ATTE'!$H$37</c:f>
              <c:strCache>
                <c:ptCount val="1"/>
                <c:pt idx="0">
                  <c:v>%</c:v>
                </c:pt>
              </c:strCache>
            </c:strRef>
          </c:tx>
          <c:dPt>
            <c:idx val="0"/>
            <c:bubble3D val="0"/>
            <c:spPr>
              <a:solidFill>
                <a:srgbClr val="7030A0"/>
              </a:solidFill>
            </c:spPr>
          </c:dPt>
          <c:dPt>
            <c:idx val="1"/>
            <c:bubble3D val="0"/>
            <c:spPr>
              <a:solidFill>
                <a:srgbClr val="0BE325"/>
              </a:solidFill>
            </c:spPr>
          </c:dPt>
          <c:dPt>
            <c:idx val="2"/>
            <c:bubble3D val="0"/>
            <c:spPr>
              <a:solidFill>
                <a:srgbClr val="00B0F0"/>
              </a:solidFill>
            </c:spPr>
          </c:dPt>
          <c:dPt>
            <c:idx val="3"/>
            <c:bubble3D val="0"/>
            <c:spPr>
              <a:solidFill>
                <a:srgbClr val="FF0000"/>
              </a:solidFill>
            </c:spPr>
          </c:dPt>
          <c:dPt>
            <c:idx val="4"/>
            <c:bubble3D val="0"/>
            <c:spPr>
              <a:solidFill>
                <a:srgbClr val="C00000"/>
              </a:solidFill>
            </c:spPr>
          </c:dPt>
          <c:dPt>
            <c:idx val="5"/>
            <c:bubble3D val="0"/>
            <c:spPr>
              <a:solidFill>
                <a:srgbClr val="FFC000"/>
              </a:solidFill>
            </c:spPr>
          </c:dPt>
          <c:dPt>
            <c:idx val="6"/>
            <c:bubble3D val="0"/>
            <c:spPr>
              <a:solidFill>
                <a:srgbClr val="0070C0"/>
              </a:solidFill>
            </c:spPr>
          </c:dPt>
          <c:dLbls>
            <c:dLbl>
              <c:idx val="0"/>
              <c:layout>
                <c:manualLayout>
                  <c:x val="9.2773403324584433E-2"/>
                  <c:y val="-7.7499635462233887E-2"/>
                </c:manualLayout>
              </c:layout>
              <c:showLegendKey val="1"/>
              <c:showVal val="1"/>
              <c:showCatName val="1"/>
              <c:showSerName val="0"/>
              <c:showPercent val="0"/>
              <c:showBubbleSize val="0"/>
              <c:separator> </c:separator>
            </c:dLbl>
            <c:dLbl>
              <c:idx val="2"/>
              <c:layout>
                <c:manualLayout>
                  <c:x val="-3.7419838145231844E-2"/>
                  <c:y val="8.9969014289880425E-2"/>
                </c:manualLayout>
              </c:layout>
              <c:showLegendKey val="1"/>
              <c:showVal val="1"/>
              <c:showCatName val="1"/>
              <c:showSerName val="0"/>
              <c:showPercent val="0"/>
              <c:showBubbleSize val="0"/>
              <c:separator> </c:separator>
            </c:dLbl>
            <c:dLbl>
              <c:idx val="3"/>
              <c:layout>
                <c:manualLayout>
                  <c:x val="0"/>
                  <c:y val="0.10722222222222222"/>
                </c:manualLayout>
              </c:layout>
              <c:showLegendKey val="1"/>
              <c:showVal val="1"/>
              <c:showCatName val="1"/>
              <c:showSerName val="0"/>
              <c:showPercent val="0"/>
              <c:showBubbleSize val="0"/>
              <c:separator> </c:separator>
            </c:dLbl>
            <c:dLbl>
              <c:idx val="4"/>
              <c:layout>
                <c:manualLayout>
                  <c:x val="4.7222222222222221E-2"/>
                  <c:y val="-4.707166812481773E-2"/>
                </c:manualLayout>
              </c:layout>
              <c:showLegendKey val="1"/>
              <c:showVal val="1"/>
              <c:showCatName val="1"/>
              <c:showSerName val="0"/>
              <c:showPercent val="0"/>
              <c:showBubbleSize val="0"/>
              <c:separator> </c:separator>
            </c:dLbl>
            <c:dLbl>
              <c:idx val="5"/>
              <c:layout>
                <c:manualLayout>
                  <c:x val="2.274125109361335E-2"/>
                  <c:y val="8.2640347039953335E-2"/>
                </c:manualLayout>
              </c:layout>
              <c:showLegendKey val="1"/>
              <c:showVal val="1"/>
              <c:showCatName val="1"/>
              <c:showSerName val="0"/>
              <c:showPercent val="0"/>
              <c:showBubbleSize val="0"/>
              <c:separator> </c:separator>
            </c:dLbl>
            <c:dLbl>
              <c:idx val="6"/>
              <c:layout>
                <c:manualLayout>
                  <c:x val="-6.7034120734908139E-3"/>
                  <c:y val="3.4830489938757654E-2"/>
                </c:manualLayout>
              </c:layout>
              <c:showLegendKey val="1"/>
              <c:showVal val="1"/>
              <c:showCatName val="1"/>
              <c:showSerName val="0"/>
              <c:showPercent val="0"/>
              <c:showBubbleSize val="0"/>
              <c:separator> </c:separator>
            </c:dLbl>
            <c:showLegendKey val="1"/>
            <c:showVal val="1"/>
            <c:showCatName val="1"/>
            <c:showSerName val="0"/>
            <c:showPercent val="0"/>
            <c:showBubbleSize val="0"/>
            <c:separator> </c:separator>
            <c:showLeaderLines val="1"/>
          </c:dLbls>
          <c:cat>
            <c:strRef>
              <c:f>'[1]BUDGET ATTE'!$B$38:$B$44</c:f>
              <c:strCache>
                <c:ptCount val="7"/>
                <c:pt idx="0">
                  <c:v>Territorial</c:v>
                </c:pt>
                <c:pt idx="1">
                  <c:v>Agriculture</c:v>
                </c:pt>
                <c:pt idx="2">
                  <c:v>Industrie</c:v>
                </c:pt>
                <c:pt idx="3">
                  <c:v>Logement</c:v>
                </c:pt>
                <c:pt idx="4">
                  <c:v>Tertiaire</c:v>
                </c:pt>
                <c:pt idx="5">
                  <c:v>Transport</c:v>
                </c:pt>
                <c:pt idx="6">
                  <c:v>Communal</c:v>
                </c:pt>
              </c:strCache>
            </c:strRef>
          </c:cat>
          <c:val>
            <c:numRef>
              <c:f>'[1]BUDGET ATTE'!$H$38:$H$44</c:f>
              <c:numCache>
                <c:formatCode>General</c:formatCode>
                <c:ptCount val="7"/>
                <c:pt idx="0">
                  <c:v>9.1626550041552634E-3</c:v>
                </c:pt>
                <c:pt idx="1">
                  <c:v>3.9132740640246695E-2</c:v>
                </c:pt>
                <c:pt idx="2">
                  <c:v>2.7646819880037834E-2</c:v>
                </c:pt>
                <c:pt idx="3">
                  <c:v>0.46688756052173352</c:v>
                </c:pt>
                <c:pt idx="4">
                  <c:v>6.7438206255583224E-3</c:v>
                </c:pt>
                <c:pt idx="5">
                  <c:v>0.28361613512861994</c:v>
                </c:pt>
                <c:pt idx="6">
                  <c:v>0.16681026819964845</c:v>
                </c:pt>
              </c:numCache>
            </c:numRef>
          </c:val>
        </c:ser>
        <c:dLbls>
          <c:showLegendKey val="0"/>
          <c:showVal val="0"/>
          <c:showCatName val="0"/>
          <c:showSerName val="0"/>
          <c:showPercent val="0"/>
          <c:showBubbleSize val="0"/>
          <c:showLeaderLines val="1"/>
        </c:dLbls>
        <c:firstSliceAng val="133"/>
      </c:pieChart>
    </c:plotArea>
    <c:plotVisOnly val="1"/>
    <c:dispBlanksAs val="gap"/>
    <c:showDLblsOverMax val="0"/>
  </c:chart>
  <c:spPr>
    <a:gradFill>
      <a:gsLst>
        <a:gs pos="0">
          <a:srgbClr val="FFC000">
            <a:alpha val="57000"/>
          </a:srgbClr>
        </a:gs>
        <a:gs pos="100000">
          <a:schemeClr val="bg1"/>
        </a:gs>
      </a:gsLst>
      <a:lin ang="5400000" scaled="0"/>
    </a:gra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image" Target="../media/image1.png"/><Relationship Id="rId7" Type="http://schemas.openxmlformats.org/officeDocument/2006/relationships/chart" Target="../charts/chart6.xml"/><Relationship Id="rId12" Type="http://schemas.openxmlformats.org/officeDocument/2006/relationships/chart" Target="../charts/chart11.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image" Target="../media/image4.png"/><Relationship Id="rId11" Type="http://schemas.openxmlformats.org/officeDocument/2006/relationships/chart" Target="../charts/chart10.xml"/><Relationship Id="rId5" Type="http://schemas.openxmlformats.org/officeDocument/2006/relationships/image" Target="../media/image3.png"/><Relationship Id="rId10" Type="http://schemas.openxmlformats.org/officeDocument/2006/relationships/chart" Target="../charts/chart9.xml"/><Relationship Id="rId4" Type="http://schemas.openxmlformats.org/officeDocument/2006/relationships/image" Target="../media/image2.png"/><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21583</xdr:colOff>
      <xdr:row>32</xdr:row>
      <xdr:rowOff>58699</xdr:rowOff>
    </xdr:from>
    <xdr:to>
      <xdr:col>7</xdr:col>
      <xdr:colOff>697681</xdr:colOff>
      <xdr:row>48</xdr:row>
      <xdr:rowOff>13138</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32</xdr:row>
      <xdr:rowOff>171449</xdr:rowOff>
    </xdr:from>
    <xdr:to>
      <xdr:col>9</xdr:col>
      <xdr:colOff>9525</xdr:colOff>
      <xdr:row>54</xdr:row>
      <xdr:rowOff>11042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15875</xdr:colOff>
      <xdr:row>32</xdr:row>
      <xdr:rowOff>91098</xdr:rowOff>
    </xdr:from>
    <xdr:to>
      <xdr:col>7</xdr:col>
      <xdr:colOff>665530</xdr:colOff>
      <xdr:row>54</xdr:row>
      <xdr:rowOff>15875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1076325</xdr:colOff>
      <xdr:row>0</xdr:row>
      <xdr:rowOff>0</xdr:rowOff>
    </xdr:from>
    <xdr:to>
      <xdr:col>14</xdr:col>
      <xdr:colOff>723900</xdr:colOff>
      <xdr:row>13</xdr:row>
      <xdr:rowOff>171450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1076325</xdr:colOff>
      <xdr:row>14</xdr:row>
      <xdr:rowOff>180975</xdr:rowOff>
    </xdr:from>
    <xdr:to>
      <xdr:col>14</xdr:col>
      <xdr:colOff>723900</xdr:colOff>
      <xdr:row>29</xdr:row>
      <xdr:rowOff>66675</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15</xdr:col>
      <xdr:colOff>0</xdr:colOff>
      <xdr:row>0</xdr:row>
      <xdr:rowOff>0</xdr:rowOff>
    </xdr:from>
    <xdr:to>
      <xdr:col>21</xdr:col>
      <xdr:colOff>12589</xdr:colOff>
      <xdr:row>13</xdr:row>
      <xdr:rowOff>183881</xdr:rowOff>
    </xdr:to>
    <xdr:pic>
      <xdr:nvPicPr>
        <xdr:cNvPr id="10" name="Image 9"/>
        <xdr:cNvPicPr>
          <a:picLocks noChangeAspect="1"/>
        </xdr:cNvPicPr>
      </xdr:nvPicPr>
      <xdr:blipFill>
        <a:blip xmlns:r="http://schemas.openxmlformats.org/officeDocument/2006/relationships" r:embed="rId3"/>
        <a:stretch>
          <a:fillRect/>
        </a:stretch>
      </xdr:blipFill>
      <xdr:spPr>
        <a:xfrm>
          <a:off x="13563600" y="0"/>
          <a:ext cx="4584589" cy="2755631"/>
        </a:xfrm>
        <a:prstGeom prst="rect">
          <a:avLst/>
        </a:prstGeom>
      </xdr:spPr>
    </xdr:pic>
    <xdr:clientData/>
  </xdr:twoCellAnchor>
  <xdr:twoCellAnchor editAs="oneCell">
    <xdr:from>
      <xdr:col>21</xdr:col>
      <xdr:colOff>0</xdr:colOff>
      <xdr:row>0</xdr:row>
      <xdr:rowOff>0</xdr:rowOff>
    </xdr:from>
    <xdr:to>
      <xdr:col>27</xdr:col>
      <xdr:colOff>12589</xdr:colOff>
      <xdr:row>13</xdr:row>
      <xdr:rowOff>183881</xdr:rowOff>
    </xdr:to>
    <xdr:pic>
      <xdr:nvPicPr>
        <xdr:cNvPr id="11" name="Image 10"/>
        <xdr:cNvPicPr>
          <a:picLocks noChangeAspect="1"/>
        </xdr:cNvPicPr>
      </xdr:nvPicPr>
      <xdr:blipFill>
        <a:blip xmlns:r="http://schemas.openxmlformats.org/officeDocument/2006/relationships" r:embed="rId4"/>
        <a:stretch>
          <a:fillRect/>
        </a:stretch>
      </xdr:blipFill>
      <xdr:spPr>
        <a:xfrm>
          <a:off x="18135600" y="0"/>
          <a:ext cx="4584589" cy="2755631"/>
        </a:xfrm>
        <a:prstGeom prst="rect">
          <a:avLst/>
        </a:prstGeom>
      </xdr:spPr>
    </xdr:pic>
    <xdr:clientData/>
  </xdr:twoCellAnchor>
  <xdr:twoCellAnchor editAs="oneCell">
    <xdr:from>
      <xdr:col>15</xdr:col>
      <xdr:colOff>0</xdr:colOff>
      <xdr:row>15</xdr:row>
      <xdr:rowOff>0</xdr:rowOff>
    </xdr:from>
    <xdr:to>
      <xdr:col>21</xdr:col>
      <xdr:colOff>12589</xdr:colOff>
      <xdr:row>29</xdr:row>
      <xdr:rowOff>88631</xdr:rowOff>
    </xdr:to>
    <xdr:pic>
      <xdr:nvPicPr>
        <xdr:cNvPr id="13" name="Image 12"/>
        <xdr:cNvPicPr>
          <a:picLocks noChangeAspect="1"/>
        </xdr:cNvPicPr>
      </xdr:nvPicPr>
      <xdr:blipFill>
        <a:blip xmlns:r="http://schemas.openxmlformats.org/officeDocument/2006/relationships" r:embed="rId5"/>
        <a:stretch>
          <a:fillRect/>
        </a:stretch>
      </xdr:blipFill>
      <xdr:spPr>
        <a:xfrm>
          <a:off x="13564914" y="2949466"/>
          <a:ext cx="4584589" cy="2755631"/>
        </a:xfrm>
        <a:prstGeom prst="rect">
          <a:avLst/>
        </a:prstGeom>
      </xdr:spPr>
    </xdr:pic>
    <xdr:clientData/>
  </xdr:twoCellAnchor>
  <xdr:twoCellAnchor editAs="oneCell">
    <xdr:from>
      <xdr:col>21</xdr:col>
      <xdr:colOff>0</xdr:colOff>
      <xdr:row>15</xdr:row>
      <xdr:rowOff>0</xdr:rowOff>
    </xdr:from>
    <xdr:to>
      <xdr:col>27</xdr:col>
      <xdr:colOff>12589</xdr:colOff>
      <xdr:row>29</xdr:row>
      <xdr:rowOff>88631</xdr:rowOff>
    </xdr:to>
    <xdr:pic>
      <xdr:nvPicPr>
        <xdr:cNvPr id="14" name="Image 13"/>
        <xdr:cNvPicPr>
          <a:picLocks noChangeAspect="1"/>
        </xdr:cNvPicPr>
      </xdr:nvPicPr>
      <xdr:blipFill>
        <a:blip xmlns:r="http://schemas.openxmlformats.org/officeDocument/2006/relationships" r:embed="rId6"/>
        <a:stretch>
          <a:fillRect/>
        </a:stretch>
      </xdr:blipFill>
      <xdr:spPr>
        <a:xfrm>
          <a:off x="18136914" y="2949466"/>
          <a:ext cx="4584589" cy="2755631"/>
        </a:xfrm>
        <a:prstGeom prst="rect">
          <a:avLst/>
        </a:prstGeom>
      </xdr:spPr>
    </xdr:pic>
    <xdr:clientData/>
  </xdr:twoCellAnchor>
  <xdr:twoCellAnchor>
    <xdr:from>
      <xdr:col>9</xdr:col>
      <xdr:colOff>57150</xdr:colOff>
      <xdr:row>0</xdr:row>
      <xdr:rowOff>52387</xdr:rowOff>
    </xdr:from>
    <xdr:to>
      <xdr:col>17</xdr:col>
      <xdr:colOff>438150</xdr:colOff>
      <xdr:row>14</xdr:row>
      <xdr:rowOff>33337</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85725</xdr:colOff>
      <xdr:row>0</xdr:row>
      <xdr:rowOff>61912</xdr:rowOff>
    </xdr:from>
    <xdr:to>
      <xdr:col>26</xdr:col>
      <xdr:colOff>466725</xdr:colOff>
      <xdr:row>14</xdr:row>
      <xdr:rowOff>42862</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19050</xdr:colOff>
      <xdr:row>23</xdr:row>
      <xdr:rowOff>4762</xdr:rowOff>
    </xdr:from>
    <xdr:to>
      <xdr:col>17</xdr:col>
      <xdr:colOff>400050</xdr:colOff>
      <xdr:row>36</xdr:row>
      <xdr:rowOff>176212</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18</xdr:col>
      <xdr:colOff>171450</xdr:colOff>
      <xdr:row>23</xdr:row>
      <xdr:rowOff>4762</xdr:rowOff>
    </xdr:from>
    <xdr:to>
      <xdr:col>27</xdr:col>
      <xdr:colOff>28575</xdr:colOff>
      <xdr:row>36</xdr:row>
      <xdr:rowOff>176212</xdr:rowOff>
    </xdr:to>
    <xdr:graphicFrame macro="">
      <xdr:nvGraphicFramePr>
        <xdr:cNvPr id="15"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76200</xdr:colOff>
      <xdr:row>47</xdr:row>
      <xdr:rowOff>109537</xdr:rowOff>
    </xdr:from>
    <xdr:to>
      <xdr:col>17</xdr:col>
      <xdr:colOff>457200</xdr:colOff>
      <xdr:row>61</xdr:row>
      <xdr:rowOff>138112</xdr:rowOff>
    </xdr:to>
    <xdr:graphicFrame macro="">
      <xdr:nvGraphicFramePr>
        <xdr:cNvPr id="16"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504825</xdr:colOff>
      <xdr:row>47</xdr:row>
      <xdr:rowOff>61912</xdr:rowOff>
    </xdr:from>
    <xdr:to>
      <xdr:col>26</xdr:col>
      <xdr:colOff>361950</xdr:colOff>
      <xdr:row>61</xdr:row>
      <xdr:rowOff>90487</xdr:rowOff>
    </xdr:to>
    <xdr:graphicFrame macro="">
      <xdr:nvGraphicFramePr>
        <xdr:cNvPr id="17" name="Graphique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conrotte/Documents/CONVENTION%20DES%20MAIRES/COMMUNES%20COM/AAFICHES%20ACTIONS/FICHES%20ACTIONS%20PAED%20WELLIN%202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conrotte/Documents/CONVENTION%20DES%20MAIRES/COMMUNES%20COM/TENNEVILLE/PAED%20TENNEVILLE/DETAIL%20PAED%20TENNEVILLE%20FP511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CHES%20TECHNIQUES%20PAED%20HABAY.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copasseur/AppData/Local/Microsoft/Windows/Temporary%20Internet%20Files/Content.IE5/Y0L3QEH5/DETAIL%20PAED%20HABAY.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onfortn/AppData/Local/Temp/DETAIL%20PAED%20HABAY%20COTON%20R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onfortn/AppData/Local/Temp/DETAIL%20PAED%20HABAY%20VERGE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Copie%20de%20DETAIL%20PAED%20HABAY%20GODFRI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ctifs CO2"/>
      <sheetName val="Objectifs ECO"/>
      <sheetName val="Objectifs PER"/>
      <sheetName val="Synthèse CO2"/>
      <sheetName val="Synthèse ECO"/>
      <sheetName val="Synthèse PER"/>
      <sheetName val="BUDGET ATTE"/>
      <sheetName val="BUDGET ADAPT"/>
      <sheetName val="PLANNING"/>
      <sheetName val="CALENDRIER"/>
      <sheetName val="ADO-1"/>
      <sheetName val="ADO-2"/>
      <sheetName val="ADO-3"/>
      <sheetName val="ADO-311"/>
      <sheetName val="ADO-312"/>
      <sheetName val="ADO-4"/>
      <sheetName val="ADO-5"/>
      <sheetName val="ADO-6"/>
      <sheetName val="ADO-7"/>
      <sheetName val="ADO-8"/>
      <sheetName val="ADO-9"/>
      <sheetName val="ADO-91"/>
      <sheetName val="ADO-92"/>
      <sheetName val="ADO-10"/>
      <sheetName val="ADO-11"/>
      <sheetName val="ADO-12"/>
      <sheetName val="ADO-13"/>
      <sheetName val="ADO-14"/>
      <sheetName val="ADO-15"/>
      <sheetName val="ADO-16"/>
      <sheetName val="ADO-17"/>
      <sheetName val="ADO-171"/>
      <sheetName val="ADU-1"/>
      <sheetName val="ADU-2"/>
      <sheetName val="ADU-221"/>
      <sheetName val="ADU-222"/>
      <sheetName val="ADU-223"/>
      <sheetName val="ADU-224"/>
      <sheetName val="ADU-225"/>
      <sheetName val="ADU-3"/>
      <sheetName val="ADU-4"/>
      <sheetName val="ADU-41"/>
      <sheetName val="ADU-42"/>
      <sheetName val="ADU-43"/>
      <sheetName val="ADU-6"/>
      <sheetName val="ADU-61"/>
      <sheetName val="ADU-80"/>
      <sheetName val="ADU-81"/>
      <sheetName val="ADU-82"/>
      <sheetName val="ADU-83"/>
      <sheetName val="ADU-84"/>
      <sheetName val="ADU-85"/>
      <sheetName val="ADU-86"/>
      <sheetName val="ADU-87"/>
      <sheetName val="ADU-88"/>
      <sheetName val="ADU-89"/>
      <sheetName val="ADU-7"/>
      <sheetName val="ADU-8"/>
      <sheetName val="ADU-9"/>
      <sheetName val="ADU-10"/>
      <sheetName val="ADU-11"/>
      <sheetName val="ADU-12"/>
      <sheetName val="ADU-121"/>
      <sheetName val="ADU-13"/>
      <sheetName val="ADU-131"/>
      <sheetName val="ADU-14"/>
      <sheetName val="ADU-15"/>
      <sheetName val="ADU-16"/>
      <sheetName val="ADU-17"/>
      <sheetName val="ADU-18"/>
      <sheetName val="ADU-181"/>
      <sheetName val="ADU-19"/>
      <sheetName val="ADU-20"/>
      <sheetName val="ADU-21"/>
      <sheetName val="ADU-22"/>
      <sheetName val="ADU-220"/>
      <sheetName val="ADU-230"/>
      <sheetName val="ADU-23"/>
      <sheetName val="ADU-24"/>
      <sheetName val="ADU-25"/>
      <sheetName val="ADU-26"/>
      <sheetName val="ADU-260"/>
      <sheetName val="ADU-261"/>
      <sheetName val="ADU-27"/>
      <sheetName val="ADU-28"/>
      <sheetName val="ADU-29"/>
      <sheetName val="ADU-30"/>
      <sheetName val="ADU-31"/>
      <sheetName val="ADU-32"/>
      <sheetName val="ADU-33"/>
      <sheetName val="ADU-331"/>
      <sheetName val="ADU-34"/>
      <sheetName val="ADU-341"/>
      <sheetName val="ADU-35"/>
      <sheetName val="ADU-36"/>
      <sheetName val="ADU-361"/>
      <sheetName val="ADU-362"/>
      <sheetName val="ADU-363"/>
      <sheetName val="ADU-364"/>
      <sheetName val="ADU-37"/>
      <sheetName val="ADU-371"/>
      <sheetName val="ADU-38"/>
      <sheetName val="ADU-389"/>
      <sheetName val="ADU-39"/>
      <sheetName val="ADU-40"/>
      <sheetName val="ADA-1"/>
      <sheetName val="ADA-2"/>
      <sheetName val="ADA-3"/>
      <sheetName val="ADA-4"/>
      <sheetName val="ADA-5"/>
      <sheetName val="ADA-6"/>
      <sheetName val="ADA-7"/>
      <sheetName val="ADA-8"/>
      <sheetName val="ADA-9"/>
      <sheetName val="ADA-10"/>
      <sheetName val="ADA-11"/>
      <sheetName val="ADA-12"/>
      <sheetName val="ADA-13"/>
      <sheetName val="ADA-14"/>
      <sheetName val="ADA-15"/>
      <sheetName val="ADA-16"/>
      <sheetName val="ADA-17"/>
      <sheetName val="ADA-18"/>
      <sheetName val="TOIT"/>
      <sheetName val="MUR"/>
      <sheetName val="SOL"/>
      <sheetName val="FEN2"/>
      <sheetName val="CHAUD"/>
      <sheetName val="RESUM"/>
      <sheetName val="FEN"/>
      <sheetName val="Feuil1"/>
    </sheetNames>
    <sheetDataSet>
      <sheetData sheetId="0">
        <row r="32">
          <cell r="Y32">
            <v>0</v>
          </cell>
        </row>
      </sheetData>
      <sheetData sheetId="1"/>
      <sheetData sheetId="2"/>
      <sheetData sheetId="3"/>
      <sheetData sheetId="4"/>
      <sheetData sheetId="5"/>
      <sheetData sheetId="6">
        <row r="3">
          <cell r="H3" t="str">
            <v>%</v>
          </cell>
        </row>
        <row r="4">
          <cell r="B4" t="str">
            <v>AC WELLIN</v>
          </cell>
          <cell r="H4">
            <v>0.12835589214005197</v>
          </cell>
        </row>
        <row r="5">
          <cell r="B5" t="str">
            <v>Agriculteurs</v>
          </cell>
          <cell r="H5">
            <v>0</v>
          </cell>
        </row>
        <row r="6">
          <cell r="B6" t="str">
            <v>Citoyens</v>
          </cell>
          <cell r="H6">
            <v>0.78227605582323623</v>
          </cell>
        </row>
        <row r="7">
          <cell r="B7" t="str">
            <v>IDELUX</v>
          </cell>
          <cell r="H7">
            <v>2.7002218536832861E-2</v>
          </cell>
        </row>
        <row r="8">
          <cell r="B8" t="str">
            <v>Industrie</v>
          </cell>
          <cell r="H8">
            <v>4.8696574052392257E-2</v>
          </cell>
        </row>
        <row r="9">
          <cell r="B9" t="str">
            <v>Tertiaire</v>
          </cell>
          <cell r="H9">
            <v>1.3669259447486707E-2</v>
          </cell>
        </row>
        <row r="14">
          <cell r="H14" t="str">
            <v>%</v>
          </cell>
        </row>
        <row r="15">
          <cell r="B15" t="str">
            <v>Territorial</v>
          </cell>
          <cell r="H15">
            <v>5.4215468432726802E-2</v>
          </cell>
        </row>
        <row r="16">
          <cell r="B16" t="str">
            <v>Agriculture</v>
          </cell>
          <cell r="H16">
            <v>0</v>
          </cell>
        </row>
        <row r="17">
          <cell r="B17" t="str">
            <v>Industrie</v>
          </cell>
          <cell r="H17">
            <v>4.8696574052392257E-2</v>
          </cell>
        </row>
        <row r="18">
          <cell r="B18" t="str">
            <v>Logement</v>
          </cell>
          <cell r="H18">
            <v>0.74804026986984662</v>
          </cell>
        </row>
        <row r="19">
          <cell r="B19" t="str">
            <v>Tertiaire</v>
          </cell>
          <cell r="H19">
            <v>1.3669259447486707E-2</v>
          </cell>
        </row>
        <row r="20">
          <cell r="B20" t="str">
            <v>Transport</v>
          </cell>
          <cell r="H20">
            <v>3.4235785953389587E-2</v>
          </cell>
        </row>
        <row r="21">
          <cell r="B21" t="str">
            <v>Communal</v>
          </cell>
          <cell r="H21">
            <v>0.10114264224415803</v>
          </cell>
        </row>
        <row r="26">
          <cell r="H26" t="str">
            <v>%</v>
          </cell>
        </row>
        <row r="27">
          <cell r="B27" t="str">
            <v>AC WELLIN</v>
          </cell>
          <cell r="H27">
            <v>0.18620100320844216</v>
          </cell>
        </row>
        <row r="28">
          <cell r="B28" t="str">
            <v>Agriculteurs</v>
          </cell>
          <cell r="H28">
            <v>3.9132740640246695E-2</v>
          </cell>
        </row>
        <row r="29">
          <cell r="B29" t="str">
            <v>Citoyens</v>
          </cell>
          <cell r="H29">
            <v>0.70852595063131651</v>
          </cell>
        </row>
        <row r="30">
          <cell r="B30" t="str">
            <v>IDELUX</v>
          </cell>
          <cell r="H30">
            <v>0</v>
          </cell>
        </row>
        <row r="31">
          <cell r="B31" t="str">
            <v>Industrie</v>
          </cell>
          <cell r="H31">
            <v>2.7646819880037834E-2</v>
          </cell>
        </row>
        <row r="32">
          <cell r="B32" t="str">
            <v>Tertiaire</v>
          </cell>
          <cell r="H32">
            <v>3.8493485639956797E-2</v>
          </cell>
        </row>
        <row r="37">
          <cell r="H37" t="str">
            <v>%</v>
          </cell>
        </row>
        <row r="38">
          <cell r="B38" t="str">
            <v>Territorial</v>
          </cell>
          <cell r="H38">
            <v>9.1626550041552634E-3</v>
          </cell>
        </row>
        <row r="39">
          <cell r="B39" t="str">
            <v>Agriculture</v>
          </cell>
          <cell r="H39">
            <v>3.9132740640246695E-2</v>
          </cell>
        </row>
        <row r="40">
          <cell r="B40" t="str">
            <v>Industrie</v>
          </cell>
          <cell r="H40">
            <v>2.7646819880037834E-2</v>
          </cell>
        </row>
        <row r="41">
          <cell r="B41" t="str">
            <v>Logement</v>
          </cell>
          <cell r="H41">
            <v>0.46688756052173352</v>
          </cell>
        </row>
        <row r="42">
          <cell r="B42" t="str">
            <v>Tertiaire</v>
          </cell>
          <cell r="H42">
            <v>6.7438206255583224E-3</v>
          </cell>
        </row>
        <row r="43">
          <cell r="B43" t="str">
            <v>Transport</v>
          </cell>
          <cell r="H43">
            <v>0.28361613512861994</v>
          </cell>
        </row>
        <row r="44">
          <cell r="B44" t="str">
            <v>Communal</v>
          </cell>
          <cell r="H44">
            <v>0.16681026819964845</v>
          </cell>
        </row>
        <row r="49">
          <cell r="H49" t="str">
            <v>%</v>
          </cell>
        </row>
        <row r="50">
          <cell r="B50" t="str">
            <v>AC WELLIN</v>
          </cell>
          <cell r="H50">
            <v>0.17419598851009507</v>
          </cell>
        </row>
        <row r="51">
          <cell r="B51" t="str">
            <v>Agriculteurs</v>
          </cell>
          <cell r="H51">
            <v>3.1011239654323529E-2</v>
          </cell>
        </row>
        <row r="52">
          <cell r="B52" t="str">
            <v>Citoyens</v>
          </cell>
          <cell r="H52">
            <v>0.72383184391220012</v>
          </cell>
        </row>
        <row r="53">
          <cell r="B53" t="str">
            <v>IDELUX</v>
          </cell>
          <cell r="H53">
            <v>5.6039659088804004E-3</v>
          </cell>
        </row>
        <row r="54">
          <cell r="B54" t="str">
            <v>Industrie</v>
          </cell>
          <cell r="H54">
            <v>3.2015427763544844E-2</v>
          </cell>
        </row>
        <row r="55">
          <cell r="B55" t="str">
            <v>Tertiaire</v>
          </cell>
          <cell r="H55">
            <v>3.3341534250956033E-2</v>
          </cell>
        </row>
        <row r="60">
          <cell r="H60" t="str">
            <v>%</v>
          </cell>
        </row>
        <row r="61">
          <cell r="B61" t="str">
            <v>Territorial</v>
          </cell>
          <cell r="H61">
            <v>1.8512791557137816E-2</v>
          </cell>
        </row>
        <row r="62">
          <cell r="B62" t="str">
            <v>Agriculture</v>
          </cell>
          <cell r="H62">
            <v>3.1011239654323525E-2</v>
          </cell>
        </row>
        <row r="63">
          <cell r="B63" t="str">
            <v>Industrie</v>
          </cell>
          <cell r="H63">
            <v>3.2015427763544844E-2</v>
          </cell>
        </row>
        <row r="64">
          <cell r="B64" t="str">
            <v>Logement</v>
          </cell>
          <cell r="H64">
            <v>0.52523721783700195</v>
          </cell>
        </row>
        <row r="65">
          <cell r="B65" t="str">
            <v>Tertiaire</v>
          </cell>
          <cell r="H65">
            <v>8.1811070844166611E-3</v>
          </cell>
        </row>
        <row r="66">
          <cell r="B66" t="str">
            <v>Transport</v>
          </cell>
          <cell r="H66">
            <v>0.23186042575176369</v>
          </cell>
        </row>
        <row r="67">
          <cell r="B67" t="str">
            <v>Communal</v>
          </cell>
          <cell r="H67">
            <v>0.15318179035181154</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ctifs CO2"/>
      <sheetName val="Objectifs ECO"/>
      <sheetName val="Objectifs PER"/>
      <sheetName val="Synthèse CO2"/>
      <sheetName val="Synthèse ECO"/>
      <sheetName val="Synthèse PER"/>
      <sheetName val="Budget"/>
      <sheetName val="Agenda communal"/>
      <sheetName val="ADO-1"/>
      <sheetName val="ADO-2"/>
      <sheetName val="ADO-3"/>
      <sheetName val="ADO-4"/>
      <sheetName val="ADO-5"/>
      <sheetName val="ADO-6"/>
      <sheetName val="ADO-7"/>
      <sheetName val="ADO-8"/>
      <sheetName val="ADO-9"/>
      <sheetName val="ADO-10"/>
      <sheetName val="ADO-11"/>
      <sheetName val="ADU-1"/>
      <sheetName val="ADU-2"/>
      <sheetName val="ADU-3"/>
      <sheetName val="ADU-4"/>
      <sheetName val="ADU-5"/>
      <sheetName val="ADU-6"/>
      <sheetName val="ADU-7"/>
      <sheetName val="ADU-8"/>
      <sheetName val="ADU-9"/>
      <sheetName val="ADU-10"/>
      <sheetName val="ADU-11"/>
      <sheetName val="ADU-12"/>
      <sheetName val="ADU-13"/>
      <sheetName val="ADU-14"/>
      <sheetName val="ADU-15"/>
      <sheetName val="ADU-16"/>
      <sheetName val="ADU-17"/>
      <sheetName val="ADU-18"/>
      <sheetName val="ADU-19"/>
      <sheetName val="ADU-20"/>
      <sheetName val="ADU-21"/>
      <sheetName val="ADU-22"/>
      <sheetName val="ADU-23"/>
      <sheetName val="ADU-24"/>
      <sheetName val="ADU-25"/>
      <sheetName val="ADU-26"/>
      <sheetName val="ADU-27"/>
      <sheetName val="ADU-28"/>
      <sheetName val="ADU-29"/>
      <sheetName val="ADU-30"/>
      <sheetName val="ADU-31"/>
      <sheetName val="ADU-32"/>
      <sheetName val="ADU-33"/>
      <sheetName val="ADU-34"/>
      <sheetName val="ADU-35"/>
      <sheetName val="Feuil5"/>
      <sheetName val="Feuil6"/>
      <sheetName val="Feuil7"/>
      <sheetName val="Feuil8"/>
      <sheetName val="Feuil9"/>
      <sheetName val="Feuil10"/>
      <sheetName val="Feuil11"/>
      <sheetName val="Feuil12"/>
      <sheetName val="Feuil13"/>
    </sheetNames>
    <sheetDataSet>
      <sheetData sheetId="0">
        <row r="10">
          <cell r="D10">
            <v>0.1</v>
          </cell>
        </row>
      </sheetData>
      <sheetData sheetId="1"/>
      <sheetData sheetId="2"/>
      <sheetData sheetId="3"/>
      <sheetData sheetId="4"/>
      <sheetData sheetId="5"/>
      <sheetData sheetId="6">
        <row r="4">
          <cell r="H4" t="str">
            <v>AC Tenneville</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0">
          <cell r="M10">
            <v>2.4221000000000004</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ctifs CO2"/>
      <sheetName val="Objectifs ECO"/>
      <sheetName val="Objectifs PER"/>
      <sheetName val="Synthèse CO2"/>
      <sheetName val="Synthèse ECO"/>
      <sheetName val="Synthèse PER"/>
      <sheetName val="Budget"/>
      <sheetName val="ADO-1"/>
      <sheetName val="ADO-2"/>
      <sheetName val="ADO-3"/>
      <sheetName val="ADO-4"/>
      <sheetName val="ADO-5"/>
      <sheetName val="ADO-6"/>
      <sheetName val="ADO-7"/>
      <sheetName val="ADO-8"/>
      <sheetName val="ADO-9"/>
      <sheetName val="ADO-10"/>
      <sheetName val="ADO-11"/>
      <sheetName val="ADO-12"/>
      <sheetName val="ADO-13"/>
      <sheetName val="ADO-14"/>
      <sheetName val="ADO-15"/>
      <sheetName val="ADU-1"/>
      <sheetName val="ADU-2"/>
      <sheetName val="ADU-221"/>
      <sheetName val="ADU-222"/>
      <sheetName val="ADU-223"/>
      <sheetName val="ADU-3"/>
      <sheetName val="ADU-5"/>
      <sheetName val="ADU-6"/>
      <sheetName val="ADU-61"/>
      <sheetName val="ADU-7"/>
      <sheetName val="ADU-8"/>
      <sheetName val="ADU-9"/>
      <sheetName val="ADU-10"/>
      <sheetName val="ADU-110"/>
      <sheetName val="ADU-111"/>
      <sheetName val="ADU-112"/>
      <sheetName val="ADU-113"/>
      <sheetName val="ADU-114"/>
      <sheetName val="ADU-12"/>
      <sheetName val="ADU-13"/>
      <sheetName val="ADU-131"/>
      <sheetName val="ADU-14"/>
      <sheetName val="ADU-15"/>
      <sheetName val="ADU-16"/>
      <sheetName val="ADU-17"/>
      <sheetName val="ADU-18"/>
      <sheetName val="ADU-19"/>
      <sheetName val="ADU-20"/>
      <sheetName val="ADU-21"/>
      <sheetName val="ADU-22"/>
      <sheetName val="ADU-23"/>
      <sheetName val="ADU-24"/>
      <sheetName val="ADU-25"/>
      <sheetName val="ADU-26"/>
      <sheetName val="ADU-261"/>
      <sheetName val="ADU-27"/>
      <sheetName val="ADU-28"/>
      <sheetName val="ADU-29"/>
      <sheetName val="ADU-30"/>
      <sheetName val="ADU-31"/>
      <sheetName val="ADU-311"/>
      <sheetName val="ADU-32"/>
      <sheetName val="ADU-33"/>
      <sheetName val="ADU-34"/>
      <sheetName val="ADU-341"/>
      <sheetName val="ADU-35"/>
      <sheetName val="ADU-361"/>
      <sheetName val="ADU-362"/>
      <sheetName val="ADU-363"/>
      <sheetName val="ADU-364"/>
      <sheetName val="ADU-365"/>
      <sheetName val="ADU-37"/>
      <sheetName val="ADU-38"/>
      <sheetName val="ADU-381"/>
      <sheetName val="ADU-389"/>
      <sheetName val="ADU-39"/>
      <sheetName val="ADU-40"/>
      <sheetName val="ADU-41"/>
      <sheetName val="ADU-42"/>
      <sheetName val="ADU-43"/>
      <sheetName val="ADU-44"/>
      <sheetName val="TOIT"/>
      <sheetName val="MUR"/>
      <sheetName val="SOL"/>
      <sheetName val="FEN"/>
      <sheetName val="CHAUD"/>
      <sheetName val="RESUM"/>
      <sheetName val="RESUME CRITERES"/>
      <sheetName val="CALENDRIER"/>
      <sheetName val="Feuil1"/>
    </sheetNames>
    <sheetDataSet>
      <sheetData sheetId="0">
        <row r="8">
          <cell r="C8">
            <v>6796.2</v>
          </cell>
        </row>
        <row r="14">
          <cell r="C14">
            <v>203.886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ctifs CO2"/>
      <sheetName val="Objectifs ECO"/>
      <sheetName val="Objectifs PER"/>
      <sheetName val="Synthèse CO2"/>
      <sheetName val="Synthèse ECO"/>
      <sheetName val="Synthèse PER"/>
      <sheetName val="Budget"/>
      <sheetName val="Agenda communal"/>
      <sheetName val="ADO-1"/>
      <sheetName val="ADO-2"/>
      <sheetName val="ADO-3"/>
      <sheetName val="ADO-4"/>
      <sheetName val="ADO-5"/>
      <sheetName val="ADO-6"/>
      <sheetName val="ADO-7"/>
      <sheetName val="ADO-8"/>
      <sheetName val="ADO-9"/>
      <sheetName val="ADO-10"/>
      <sheetName val="ADO-11"/>
      <sheetName val="ADO-12"/>
      <sheetName val="ADO-13"/>
      <sheetName val="ADO-14"/>
      <sheetName val="ADO-15"/>
      <sheetName val="ADO-16"/>
      <sheetName val="ADO-17"/>
      <sheetName val="ADO-18"/>
      <sheetName val="ADO-19"/>
      <sheetName val="ADO-20"/>
      <sheetName val="ADU-1"/>
      <sheetName val="ADU-2"/>
      <sheetName val="ADU-221"/>
      <sheetName val="ADU-222"/>
      <sheetName val="ADU-223"/>
      <sheetName val="ADU-3"/>
      <sheetName val="ADU-41"/>
      <sheetName val="ADU-42"/>
      <sheetName val="ADU-43"/>
      <sheetName val="ADU-44"/>
      <sheetName val="ADU-5"/>
      <sheetName val="ADU-6"/>
      <sheetName val="ADU-61"/>
      <sheetName val="ADU-7"/>
      <sheetName val="ADU-8"/>
      <sheetName val="ADU-9"/>
      <sheetName val="ADU-10"/>
      <sheetName val="ADU-110"/>
      <sheetName val="ADU-111"/>
      <sheetName val="ADU-112"/>
      <sheetName val="ADU-113"/>
      <sheetName val="ADU-114"/>
      <sheetName val="ADU-12"/>
      <sheetName val="ADU-13"/>
      <sheetName val="ADU-131"/>
      <sheetName val="ADU-14"/>
      <sheetName val="ADU-15"/>
      <sheetName val="ADU-16"/>
      <sheetName val="ADU-17"/>
      <sheetName val="ADU-18"/>
      <sheetName val="ADU-19"/>
      <sheetName val="ADU-20"/>
      <sheetName val="ADU-21"/>
      <sheetName val="ADU-22"/>
      <sheetName val="ADU-23"/>
      <sheetName val="ADU-24"/>
      <sheetName val="ADU-25"/>
      <sheetName val="ADU-26"/>
      <sheetName val="ADU-27"/>
      <sheetName val="ADU-28"/>
      <sheetName val="ADU-29"/>
      <sheetName val="ADU-30"/>
      <sheetName val="ADU-31"/>
      <sheetName val="ADU-311"/>
      <sheetName val="ADU-32"/>
      <sheetName val="ADU-33"/>
      <sheetName val="ADU-34"/>
      <sheetName val="ADU-341"/>
      <sheetName val="ADU-35"/>
      <sheetName val="ADU-361"/>
      <sheetName val="ADU-362"/>
      <sheetName val="ADU-363"/>
      <sheetName val="ADU-364"/>
      <sheetName val="ADU-365"/>
      <sheetName val="ADU-37"/>
      <sheetName val="ADU-38"/>
      <sheetName val="ADU-381"/>
      <sheetName val="ADU-389"/>
      <sheetName val="ADU-39"/>
      <sheetName val="ADU-40"/>
      <sheetName val="TOIT"/>
      <sheetName val="MUR"/>
      <sheetName val="SOL"/>
      <sheetName val="FEN"/>
      <sheetName val="CHAUD"/>
      <sheetName val="RESUM"/>
      <sheetName val="RESUME CRITERES"/>
      <sheetName val="CALENDRIER"/>
      <sheetName val="ADU-4"/>
      <sheetName val="ADU-36"/>
    </sheetNames>
    <sheetDataSet>
      <sheetData sheetId="0">
        <row r="10">
          <cell r="D10">
            <v>0.23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ow r="196">
          <cell r="C196">
            <v>346562.68888888886</v>
          </cell>
          <cell r="D196">
            <v>155953.20999999996</v>
          </cell>
          <cell r="L196">
            <v>1821990.8622461539</v>
          </cell>
        </row>
      </sheetData>
      <sheetData sheetId="89">
        <row r="96">
          <cell r="C96">
            <v>592947.62222222204</v>
          </cell>
          <cell r="D96">
            <v>266826.43</v>
          </cell>
          <cell r="L96">
            <v>701747.81837999949</v>
          </cell>
        </row>
      </sheetData>
      <sheetData sheetId="90">
        <row r="70">
          <cell r="C70">
            <v>169084.22222222222</v>
          </cell>
          <cell r="D70">
            <v>76087.900000000009</v>
          </cell>
          <cell r="L70">
            <v>235293.22319999995</v>
          </cell>
        </row>
      </sheetData>
      <sheetData sheetId="91">
        <row r="13">
          <cell r="C13">
            <v>443584.59</v>
          </cell>
          <cell r="D13">
            <v>39481.65</v>
          </cell>
          <cell r="L13">
            <v>129256.848</v>
          </cell>
        </row>
      </sheetData>
      <sheetData sheetId="92">
        <row r="7">
          <cell r="L7">
            <v>10000</v>
          </cell>
          <cell r="M7">
            <v>1750</v>
          </cell>
        </row>
        <row r="8">
          <cell r="L8">
            <v>10000</v>
          </cell>
          <cell r="M8">
            <v>1750</v>
          </cell>
        </row>
        <row r="9">
          <cell r="L9">
            <v>10000</v>
          </cell>
          <cell r="M9">
            <v>1750</v>
          </cell>
        </row>
        <row r="10">
          <cell r="L10">
            <v>10000</v>
          </cell>
          <cell r="M10">
            <v>1750</v>
          </cell>
        </row>
        <row r="11">
          <cell r="L11">
            <v>10000</v>
          </cell>
          <cell r="M11">
            <v>1750</v>
          </cell>
        </row>
        <row r="12">
          <cell r="L12">
            <v>10000</v>
          </cell>
          <cell r="M12">
            <v>1750</v>
          </cell>
        </row>
        <row r="14">
          <cell r="L14">
            <v>6500</v>
          </cell>
          <cell r="M14">
            <v>1500</v>
          </cell>
        </row>
        <row r="15">
          <cell r="L15">
            <v>6500</v>
          </cell>
          <cell r="M15">
            <v>1500</v>
          </cell>
        </row>
        <row r="16">
          <cell r="L16">
            <v>6500</v>
          </cell>
          <cell r="M16">
            <v>1500</v>
          </cell>
        </row>
        <row r="17">
          <cell r="L17">
            <v>6500</v>
          </cell>
          <cell r="M17">
            <v>1500</v>
          </cell>
        </row>
        <row r="18">
          <cell r="L18">
            <v>6500</v>
          </cell>
          <cell r="M18">
            <v>1500</v>
          </cell>
        </row>
        <row r="19">
          <cell r="L19">
            <v>6500</v>
          </cell>
          <cell r="M19">
            <v>1500</v>
          </cell>
        </row>
        <row r="20">
          <cell r="L20">
            <v>10000</v>
          </cell>
          <cell r="M20">
            <v>2250</v>
          </cell>
        </row>
        <row r="21">
          <cell r="L21">
            <v>10000</v>
          </cell>
          <cell r="M21">
            <v>2250</v>
          </cell>
        </row>
        <row r="22">
          <cell r="L22">
            <v>10000</v>
          </cell>
          <cell r="M22">
            <v>2250</v>
          </cell>
        </row>
        <row r="23">
          <cell r="L23">
            <v>10000</v>
          </cell>
          <cell r="M23">
            <v>2250</v>
          </cell>
        </row>
        <row r="24">
          <cell r="L24">
            <v>4500</v>
          </cell>
          <cell r="M24">
            <v>750</v>
          </cell>
        </row>
        <row r="25">
          <cell r="L25">
            <v>4500</v>
          </cell>
          <cell r="M25">
            <v>750</v>
          </cell>
        </row>
        <row r="26">
          <cell r="L26">
            <v>4500</v>
          </cell>
          <cell r="M26">
            <v>750</v>
          </cell>
        </row>
        <row r="27">
          <cell r="L27">
            <v>4500</v>
          </cell>
          <cell r="M27">
            <v>750</v>
          </cell>
        </row>
        <row r="28">
          <cell r="L28">
            <v>4500</v>
          </cell>
          <cell r="M28">
            <v>750</v>
          </cell>
        </row>
        <row r="29">
          <cell r="L29">
            <v>4500</v>
          </cell>
          <cell r="M29">
            <v>750</v>
          </cell>
        </row>
        <row r="30">
          <cell r="L30">
            <v>4500</v>
          </cell>
          <cell r="M30">
            <v>750</v>
          </cell>
        </row>
        <row r="31">
          <cell r="L31">
            <v>4500</v>
          </cell>
          <cell r="M31">
            <v>750</v>
          </cell>
        </row>
        <row r="32">
          <cell r="L32">
            <v>4500</v>
          </cell>
          <cell r="M32">
            <v>750</v>
          </cell>
        </row>
        <row r="33">
          <cell r="L33">
            <v>4500</v>
          </cell>
          <cell r="M33">
            <v>750</v>
          </cell>
        </row>
        <row r="34">
          <cell r="L34">
            <v>4500</v>
          </cell>
          <cell r="M34">
            <v>750</v>
          </cell>
        </row>
        <row r="35">
          <cell r="L35">
            <v>4500</v>
          </cell>
          <cell r="M35">
            <v>750</v>
          </cell>
        </row>
        <row r="36">
          <cell r="L36">
            <v>4500</v>
          </cell>
          <cell r="M36">
            <v>750</v>
          </cell>
        </row>
        <row r="37">
          <cell r="L37">
            <v>4500</v>
          </cell>
          <cell r="M37">
            <v>750</v>
          </cell>
        </row>
        <row r="38">
          <cell r="L38">
            <v>4500</v>
          </cell>
          <cell r="M38">
            <v>750</v>
          </cell>
        </row>
        <row r="39">
          <cell r="L39">
            <v>4500</v>
          </cell>
          <cell r="M39">
            <v>750</v>
          </cell>
        </row>
        <row r="40">
          <cell r="L40">
            <v>4500</v>
          </cell>
          <cell r="M40">
            <v>750</v>
          </cell>
        </row>
        <row r="64">
          <cell r="C64">
            <v>160650</v>
          </cell>
          <cell r="G64">
            <v>137622.8805</v>
          </cell>
        </row>
      </sheetData>
      <sheetData sheetId="93"/>
      <sheetData sheetId="94"/>
      <sheetData sheetId="95"/>
      <sheetData sheetId="96" refreshError="1"/>
      <sheetData sheetId="9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ctifs CO2"/>
      <sheetName val="Objectifs ECO"/>
      <sheetName val="Objectifs PER"/>
      <sheetName val="Synthèse CO2"/>
      <sheetName val="Synthèse ECO"/>
      <sheetName val="Synthèse PER"/>
      <sheetName val="Budget"/>
      <sheetName val="Agenda communal"/>
      <sheetName val="ADO-1"/>
      <sheetName val="ADO-2"/>
      <sheetName val="ADO-3"/>
      <sheetName val="ADO-4"/>
      <sheetName val="ADO-5"/>
      <sheetName val="ADO-6"/>
      <sheetName val="ADO-7"/>
      <sheetName val="ADO-8"/>
      <sheetName val="ADO-9"/>
      <sheetName val="ADO-10"/>
      <sheetName val="ADO-11"/>
      <sheetName val="ADU-1"/>
      <sheetName val="ADU-2"/>
      <sheetName val="ADU-3"/>
      <sheetName val="ADU-4"/>
      <sheetName val="ADU-5"/>
      <sheetName val="ADU-6"/>
      <sheetName val="ADU-61"/>
      <sheetName val="ADU-7"/>
      <sheetName val="ADU-8"/>
      <sheetName val="ADU-9"/>
      <sheetName val="ADU-10"/>
      <sheetName val="ADU-110"/>
      <sheetName val="ADU-111"/>
      <sheetName val="ADU-112"/>
      <sheetName val="ADU-113"/>
      <sheetName val="ADU-12"/>
      <sheetName val="ADU-13"/>
      <sheetName val="ADU-14"/>
      <sheetName val="ADU-15"/>
      <sheetName val="ADU-16"/>
      <sheetName val="ADU-17"/>
      <sheetName val="ADU-18"/>
      <sheetName val="ADU-19"/>
      <sheetName val="ADU-20"/>
      <sheetName val="ADU-21"/>
      <sheetName val="ADU-22"/>
      <sheetName val="ADU-23"/>
      <sheetName val="ADU-24"/>
      <sheetName val="ADU-25"/>
      <sheetName val="ADU-26"/>
      <sheetName val="ADU-27"/>
      <sheetName val="ADU-28"/>
      <sheetName val="ADU-29"/>
      <sheetName val="ADU-30"/>
      <sheetName val="ADU-31"/>
      <sheetName val="ADU-32"/>
      <sheetName val="ADU-33"/>
      <sheetName val="ADU-34"/>
      <sheetName val="ADU-35"/>
      <sheetName val="ADU-36"/>
      <sheetName val="ADU-37"/>
      <sheetName val="ADU-38"/>
      <sheetName val="ADU-39"/>
      <sheetName val="ADU-40"/>
      <sheetName val="TOIT"/>
      <sheetName val="MUR"/>
      <sheetName val="SOL"/>
      <sheetName val="FEN"/>
      <sheetName val="CHAUD"/>
      <sheetName val="RESUM"/>
      <sheetName val="RESUME CRITE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4">
          <cell r="E4" t="str">
            <v>ADO-2</v>
          </cell>
        </row>
        <row r="8">
          <cell r="B8" t="str">
            <v>Information isolation</v>
          </cell>
        </row>
        <row r="40">
          <cell r="E40">
            <v>16</v>
          </cell>
        </row>
      </sheetData>
      <sheetData sheetId="10" refreshError="1">
        <row r="4">
          <cell r="E4" t="str">
            <v>ADO-3</v>
          </cell>
        </row>
        <row r="8">
          <cell r="B8" t="str">
            <v>Formation Eco Guide - Energie</v>
          </cell>
        </row>
        <row r="40">
          <cell r="E40">
            <v>13</v>
          </cell>
        </row>
      </sheetData>
      <sheetData sheetId="11" refreshError="1"/>
      <sheetData sheetId="12" refreshError="1">
        <row r="4">
          <cell r="E4" t="str">
            <v>ADO-5</v>
          </cell>
        </row>
        <row r="8">
          <cell r="B8" t="str">
            <v>Mise en place d'une centrale d'achat</v>
          </cell>
        </row>
        <row r="40">
          <cell r="E40">
            <v>20</v>
          </cell>
        </row>
      </sheetData>
      <sheetData sheetId="13" refreshError="1">
        <row r="4">
          <cell r="E4" t="str">
            <v>ADO-6</v>
          </cell>
        </row>
        <row r="8">
          <cell r="B8" t="str">
            <v>Sensibilisation du grand public aux URE - chaleur</v>
          </cell>
        </row>
        <row r="40">
          <cell r="E40">
            <v>17</v>
          </cell>
        </row>
      </sheetData>
      <sheetData sheetId="14" refreshError="1">
        <row r="4">
          <cell r="E4" t="str">
            <v>ADO-7</v>
          </cell>
        </row>
        <row r="8">
          <cell r="B8" t="str">
            <v>Sensibilisation du grand public aux URE - électricité</v>
          </cell>
        </row>
        <row r="40">
          <cell r="E40">
            <v>17</v>
          </cell>
        </row>
      </sheetData>
      <sheetData sheetId="15" refreshError="1">
        <row r="4">
          <cell r="E4" t="str">
            <v>ADO-8</v>
          </cell>
        </row>
        <row r="8">
          <cell r="B8" t="str">
            <v>Informations spécifiques aux agriculteurs</v>
          </cell>
        </row>
        <row r="40">
          <cell r="E40">
            <v>15</v>
          </cell>
        </row>
      </sheetData>
      <sheetData sheetId="16" refreshError="1">
        <row r="4">
          <cell r="E4" t="str">
            <v>ADO-9</v>
          </cell>
        </row>
        <row r="8">
          <cell r="B8" t="str">
            <v>Information aux entreprises</v>
          </cell>
        </row>
        <row r="40">
          <cell r="E40">
            <v>16</v>
          </cell>
        </row>
      </sheetData>
      <sheetData sheetId="17" refreshError="1">
        <row r="4">
          <cell r="E4" t="str">
            <v>ADO-10</v>
          </cell>
        </row>
        <row r="8">
          <cell r="B8" t="str">
            <v>Analyse thermographique</v>
          </cell>
        </row>
        <row r="40">
          <cell r="E40">
            <v>21</v>
          </cell>
        </row>
      </sheetData>
      <sheetData sheetId="18" refreshError="1">
        <row r="4">
          <cell r="E4" t="str">
            <v>ADO-11</v>
          </cell>
        </row>
        <row r="40">
          <cell r="E40">
            <v>0</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4">
          <cell r="E4" t="str">
            <v>ADU-10</v>
          </cell>
        </row>
        <row r="40">
          <cell r="E40">
            <v>0</v>
          </cell>
        </row>
      </sheetData>
      <sheetData sheetId="30" refreshError="1">
        <row r="4">
          <cell r="E4" t="str">
            <v>ADU-110</v>
          </cell>
        </row>
        <row r="8">
          <cell r="B8" t="str">
            <v>Rénovation - isolation de logements privés - Sols</v>
          </cell>
        </row>
        <row r="40">
          <cell r="E40">
            <v>15</v>
          </cell>
        </row>
      </sheetData>
      <sheetData sheetId="31" refreshError="1">
        <row r="4">
          <cell r="E4" t="str">
            <v>ADU-111</v>
          </cell>
        </row>
        <row r="8">
          <cell r="B8" t="str">
            <v>Rénovation - isolation de logements privés - Toitures</v>
          </cell>
        </row>
        <row r="40">
          <cell r="E40">
            <v>17</v>
          </cell>
        </row>
      </sheetData>
      <sheetData sheetId="32" refreshError="1">
        <row r="4">
          <cell r="E4" t="str">
            <v>ADU-112</v>
          </cell>
        </row>
        <row r="8">
          <cell r="B8" t="str">
            <v>Rénovation - isolation de logements privés - Murs extérieurs</v>
          </cell>
        </row>
        <row r="40">
          <cell r="E40">
            <v>16</v>
          </cell>
        </row>
      </sheetData>
      <sheetData sheetId="33" refreshError="1">
        <row r="4">
          <cell r="E4" t="str">
            <v>ADU-113</v>
          </cell>
        </row>
        <row r="8">
          <cell r="B8" t="str">
            <v>Rénovation - isolation de logements privés - vitrages</v>
          </cell>
        </row>
        <row r="40">
          <cell r="E40">
            <v>17</v>
          </cell>
        </row>
      </sheetData>
      <sheetData sheetId="34" refreshError="1">
        <row r="4">
          <cell r="E4" t="str">
            <v>ADU-12</v>
          </cell>
        </row>
        <row r="8">
          <cell r="B8" t="str">
            <v>Isolation poussée des bâtiments scolaires de Marbehan, Habay-la-Vieille, Rulles et Hachy</v>
          </cell>
        </row>
        <row r="40">
          <cell r="E40">
            <v>17</v>
          </cell>
        </row>
      </sheetData>
      <sheetData sheetId="35" refreshError="1">
        <row r="4">
          <cell r="E4" t="str">
            <v>ADU-13</v>
          </cell>
        </row>
        <row r="8">
          <cell r="B8" t="str">
            <v>Eclairage économique</v>
          </cell>
        </row>
        <row r="40">
          <cell r="E40">
            <v>21</v>
          </cell>
        </row>
      </sheetData>
      <sheetData sheetId="36" refreshError="1">
        <row r="4">
          <cell r="E4" t="str">
            <v>ADU-14</v>
          </cell>
        </row>
        <row r="8">
          <cell r="B8" t="str">
            <v>Chaudières à condensation</v>
          </cell>
        </row>
        <row r="40">
          <cell r="E40">
            <v>11</v>
          </cell>
        </row>
      </sheetData>
      <sheetData sheetId="37" refreshError="1">
        <row r="4">
          <cell r="E4" t="str">
            <v>ADU-15</v>
          </cell>
        </row>
        <row r="8">
          <cell r="B8" t="str">
            <v>Changement de vecteur énergétique pour le chauffage</v>
          </cell>
        </row>
        <row r="40">
          <cell r="E40">
            <v>19</v>
          </cell>
        </row>
      </sheetData>
      <sheetData sheetId="38" refreshError="1">
        <row r="4">
          <cell r="E4" t="str">
            <v>ADU-16</v>
          </cell>
        </row>
        <row r="8">
          <cell r="B8" t="str">
            <v>Installations photovoltaïques</v>
          </cell>
        </row>
        <row r="40">
          <cell r="E40">
            <v>19</v>
          </cell>
        </row>
      </sheetData>
      <sheetData sheetId="39" refreshError="1">
        <row r="4">
          <cell r="E4" t="str">
            <v>ADU-17</v>
          </cell>
        </row>
        <row r="8">
          <cell r="B8" t="str">
            <v>Installations photovoltaïques pour les bâtiments communaux</v>
          </cell>
        </row>
        <row r="40">
          <cell r="E40">
            <v>22</v>
          </cell>
        </row>
      </sheetData>
      <sheetData sheetId="40" refreshError="1">
        <row r="4">
          <cell r="E4" t="str">
            <v>ADU-18</v>
          </cell>
        </row>
        <row r="8">
          <cell r="B8" t="str">
            <v>Installations photovoltaïques pour les bâtiments industriels</v>
          </cell>
        </row>
        <row r="40">
          <cell r="E40">
            <v>17</v>
          </cell>
        </row>
      </sheetData>
      <sheetData sheetId="41" refreshError="1">
        <row r="4">
          <cell r="E4" t="str">
            <v>ADU-19</v>
          </cell>
        </row>
        <row r="8">
          <cell r="B8" t="str">
            <v>Installations photovoltaïques pour les bâtiments agricoles</v>
          </cell>
        </row>
        <row r="40">
          <cell r="E40">
            <v>17</v>
          </cell>
        </row>
      </sheetData>
      <sheetData sheetId="42" refreshError="1">
        <row r="4">
          <cell r="E4" t="str">
            <v>ADU-20</v>
          </cell>
        </row>
        <row r="8">
          <cell r="B8" t="str">
            <v>Installations photovoltaïques pour les bâtiments tertiaires</v>
          </cell>
        </row>
        <row r="40">
          <cell r="E40">
            <v>17</v>
          </cell>
        </row>
      </sheetData>
      <sheetData sheetId="43" refreshError="1">
        <row r="4">
          <cell r="E4" t="str">
            <v>ADU-21</v>
          </cell>
        </row>
        <row r="8">
          <cell r="B8" t="str">
            <v>Installation d'un parc de 40 éoliennes de 0,2 MW</v>
          </cell>
        </row>
        <row r="40">
          <cell r="E40">
            <v>18</v>
          </cell>
        </row>
      </sheetData>
      <sheetData sheetId="44" refreshError="1">
        <row r="4">
          <cell r="E4" t="str">
            <v>ADU-22</v>
          </cell>
        </row>
        <row r="8">
          <cell r="B8" t="str">
            <v xml:space="preserve">Installation solaires thermiques </v>
          </cell>
        </row>
        <row r="40">
          <cell r="E40">
            <v>19</v>
          </cell>
        </row>
      </sheetData>
      <sheetData sheetId="45" refreshError="1">
        <row r="4">
          <cell r="E4" t="str">
            <v>ADU-23</v>
          </cell>
        </row>
        <row r="8">
          <cell r="B8" t="str">
            <v xml:space="preserve">Installation d'une centrale de production de biogaz </v>
          </cell>
        </row>
        <row r="40">
          <cell r="E40">
            <v>17</v>
          </cell>
        </row>
      </sheetData>
      <sheetData sheetId="46" refreshError="1">
        <row r="4">
          <cell r="E4" t="str">
            <v>ADU-24</v>
          </cell>
        </row>
        <row r="8">
          <cell r="B8" t="str">
            <v>Biogaz sur cultures dédiées</v>
          </cell>
        </row>
        <row r="40">
          <cell r="E40">
            <v>12</v>
          </cell>
        </row>
      </sheetData>
      <sheetData sheetId="47" refreshError="1">
        <row r="4">
          <cell r="E4" t="str">
            <v>ADU-25</v>
          </cell>
        </row>
        <row r="8">
          <cell r="B8" t="str">
            <v>Diagnostics énergétiques d'exploitations agricoles</v>
          </cell>
        </row>
        <row r="40">
          <cell r="E40">
            <v>18</v>
          </cell>
        </row>
      </sheetData>
      <sheetData sheetId="48" refreshError="1">
        <row r="4">
          <cell r="E4" t="str">
            <v>ADU-26</v>
          </cell>
        </row>
        <row r="8">
          <cell r="B8" t="str">
            <v>Réduction des consommations des processus de fabrication</v>
          </cell>
        </row>
        <row r="40">
          <cell r="E40">
            <v>18</v>
          </cell>
        </row>
      </sheetData>
      <sheetData sheetId="49" refreshError="1">
        <row r="4">
          <cell r="E4" t="str">
            <v>ADU-27</v>
          </cell>
        </row>
        <row r="8">
          <cell r="B8" t="str">
            <v xml:space="preserve"> Chauffage d'appoint et changement de vecteur énergétique </v>
          </cell>
        </row>
        <row r="40">
          <cell r="E40">
            <v>25</v>
          </cell>
        </row>
      </sheetData>
      <sheetData sheetId="50" refreshError="1">
        <row r="4">
          <cell r="E4" t="str">
            <v>ADU-28</v>
          </cell>
        </row>
        <row r="8">
          <cell r="B8" t="str">
            <v xml:space="preserve">Installation "individuelle de production de biogaz </v>
          </cell>
        </row>
        <row r="40">
          <cell r="E40">
            <v>17</v>
          </cell>
        </row>
      </sheetData>
      <sheetData sheetId="51" refreshError="1">
        <row r="4">
          <cell r="E4" t="str">
            <v>ADU-29</v>
          </cell>
        </row>
        <row r="8">
          <cell r="B8" t="str">
            <v>Installation d'un parc de 6 éoliennes de 2,97 MW</v>
          </cell>
        </row>
        <row r="40">
          <cell r="E40">
            <v>21</v>
          </cell>
        </row>
      </sheetData>
      <sheetData sheetId="52" refreshError="1">
        <row r="4">
          <cell r="E4" t="str">
            <v>ADU-30</v>
          </cell>
        </row>
        <row r="8">
          <cell r="B8" t="str">
            <v>Formation à l'éco-conduite</v>
          </cell>
        </row>
        <row r="40">
          <cell r="E40">
            <v>14</v>
          </cell>
        </row>
      </sheetData>
      <sheetData sheetId="53" refreshError="1">
        <row r="4">
          <cell r="E4" t="str">
            <v>ADU-31</v>
          </cell>
        </row>
        <row r="8">
          <cell r="B8" t="str">
            <v>Covoiturage</v>
          </cell>
        </row>
        <row r="40">
          <cell r="E40">
            <v>20</v>
          </cell>
        </row>
      </sheetData>
      <sheetData sheetId="54" refreshError="1">
        <row r="4">
          <cell r="E4" t="str">
            <v>ADU-32</v>
          </cell>
        </row>
        <row r="8">
          <cell r="B8" t="str">
            <v>Remplacement de 6 véhicules de service par des voitures électriques</v>
          </cell>
        </row>
        <row r="40">
          <cell r="E40">
            <v>10</v>
          </cell>
        </row>
      </sheetData>
      <sheetData sheetId="55" refreshError="1">
        <row r="4">
          <cell r="E4" t="str">
            <v>ADU-33</v>
          </cell>
        </row>
        <row r="8">
          <cell r="B8" t="str">
            <v>Remplacement de 240 véhicules privés par des voitures électriques</v>
          </cell>
        </row>
        <row r="40">
          <cell r="E40">
            <v>12</v>
          </cell>
        </row>
      </sheetData>
      <sheetData sheetId="56" refreshError="1">
        <row r="4">
          <cell r="E4" t="str">
            <v>ADU-34</v>
          </cell>
        </row>
        <row r="8">
          <cell r="B8" t="str">
            <v>Borne de recharge</v>
          </cell>
        </row>
        <row r="40">
          <cell r="E40">
            <v>10</v>
          </cell>
        </row>
      </sheetData>
      <sheetData sheetId="57" refreshError="1">
        <row r="4">
          <cell r="E4" t="str">
            <v>ADU-35</v>
          </cell>
        </row>
        <row r="8">
          <cell r="B8" t="str">
            <v>Ramassage scolaire</v>
          </cell>
        </row>
        <row r="40">
          <cell r="E40">
            <v>19</v>
          </cell>
        </row>
      </sheetData>
      <sheetData sheetId="58" refreshError="1">
        <row r="4">
          <cell r="E4" t="str">
            <v>ADU-36</v>
          </cell>
        </row>
        <row r="40">
          <cell r="E40">
            <v>0</v>
          </cell>
        </row>
      </sheetData>
      <sheetData sheetId="59" refreshError="1">
        <row r="4">
          <cell r="E4" t="str">
            <v>ADU-37</v>
          </cell>
        </row>
        <row r="40">
          <cell r="E40">
            <v>0</v>
          </cell>
        </row>
      </sheetData>
      <sheetData sheetId="60" refreshError="1">
        <row r="4">
          <cell r="E4" t="str">
            <v>ADU-38</v>
          </cell>
        </row>
        <row r="40">
          <cell r="E40">
            <v>0</v>
          </cell>
        </row>
      </sheetData>
      <sheetData sheetId="61" refreshError="1"/>
      <sheetData sheetId="62" refreshError="1">
        <row r="4">
          <cell r="E4" t="str">
            <v>ADU-40</v>
          </cell>
        </row>
        <row r="40">
          <cell r="E40">
            <v>0</v>
          </cell>
        </row>
      </sheetData>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ctifs CO2"/>
      <sheetName val="Objectifs ECO"/>
      <sheetName val="Objectifs PER"/>
      <sheetName val="Synthèse CO2"/>
      <sheetName val="Synthèse ECO"/>
      <sheetName val="Synthèse PER"/>
      <sheetName val="Budget"/>
      <sheetName val="Agenda communal"/>
      <sheetName val="ADO-1"/>
      <sheetName val="ADO-2"/>
      <sheetName val="ADO-3"/>
      <sheetName val="ADO-4"/>
      <sheetName val="ADO-5"/>
      <sheetName val="ADO-6"/>
      <sheetName val="ADO-7"/>
      <sheetName val="ADO-8"/>
      <sheetName val="ADO-9"/>
      <sheetName val="ADO-10"/>
      <sheetName val="ADO-11"/>
      <sheetName val="ADU-1"/>
      <sheetName val="ADU-2"/>
      <sheetName val="ADU-3"/>
      <sheetName val="ADU-4"/>
      <sheetName val="ADU-5"/>
      <sheetName val="ADU-6"/>
      <sheetName val="ADU-61"/>
      <sheetName val="ADU-7"/>
      <sheetName val="ADU-8"/>
      <sheetName val="ADU-9"/>
      <sheetName val="ADU-10"/>
      <sheetName val="ADU-110"/>
      <sheetName val="ADU-111"/>
      <sheetName val="ADU-112"/>
      <sheetName val="ADU-113"/>
      <sheetName val="ADU-12"/>
      <sheetName val="ADU-13"/>
      <sheetName val="ADU-14"/>
      <sheetName val="ADU-15"/>
      <sheetName val="ADU-16"/>
      <sheetName val="ADU-17"/>
      <sheetName val="ADU-18"/>
      <sheetName val="ADU-19"/>
      <sheetName val="ADU-20"/>
      <sheetName val="ADU-21"/>
      <sheetName val="ADU-22"/>
      <sheetName val="ADU-23"/>
      <sheetName val="ADU-24"/>
      <sheetName val="ADU-25"/>
      <sheetName val="ADU-26"/>
      <sheetName val="ADU-27"/>
      <sheetName val="ADU-28"/>
      <sheetName val="ADU-29"/>
      <sheetName val="ADU-30"/>
      <sheetName val="ADU-31"/>
      <sheetName val="ADU-32"/>
      <sheetName val="ADU-33"/>
      <sheetName val="ADU-34"/>
      <sheetName val="ADU-35"/>
      <sheetName val="ADU-36"/>
      <sheetName val="ADU-37"/>
      <sheetName val="ADU-38"/>
      <sheetName val="ADU-39"/>
      <sheetName val="ADU-40"/>
      <sheetName val="TOIT"/>
      <sheetName val="MUR"/>
      <sheetName val="SOL"/>
      <sheetName val="FEN"/>
      <sheetName val="CHAUD"/>
      <sheetName val="RESUM"/>
      <sheetName val="RESUME CRITE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40">
          <cell r="E40">
            <v>17</v>
          </cell>
        </row>
      </sheetData>
      <sheetData sheetId="10" refreshError="1">
        <row r="40">
          <cell r="E40">
            <v>16</v>
          </cell>
        </row>
      </sheetData>
      <sheetData sheetId="11" refreshError="1"/>
      <sheetData sheetId="12" refreshError="1">
        <row r="40">
          <cell r="E40">
            <v>17</v>
          </cell>
        </row>
      </sheetData>
      <sheetData sheetId="13" refreshError="1">
        <row r="40">
          <cell r="E40">
            <v>15</v>
          </cell>
        </row>
      </sheetData>
      <sheetData sheetId="14" refreshError="1">
        <row r="40">
          <cell r="E40">
            <v>16</v>
          </cell>
        </row>
      </sheetData>
      <sheetData sheetId="15" refreshError="1">
        <row r="40">
          <cell r="E40">
            <v>13</v>
          </cell>
        </row>
      </sheetData>
      <sheetData sheetId="16" refreshError="1">
        <row r="40">
          <cell r="E40">
            <v>19</v>
          </cell>
        </row>
      </sheetData>
      <sheetData sheetId="17" refreshError="1">
        <row r="40">
          <cell r="E40">
            <v>18</v>
          </cell>
        </row>
      </sheetData>
      <sheetData sheetId="18" refreshError="1">
        <row r="40">
          <cell r="E40">
            <v>0</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40">
          <cell r="E40">
            <v>0</v>
          </cell>
        </row>
      </sheetData>
      <sheetData sheetId="30" refreshError="1">
        <row r="40">
          <cell r="E40">
            <v>16</v>
          </cell>
        </row>
      </sheetData>
      <sheetData sheetId="31" refreshError="1">
        <row r="40">
          <cell r="E40">
            <v>17</v>
          </cell>
        </row>
      </sheetData>
      <sheetData sheetId="32" refreshError="1">
        <row r="40">
          <cell r="E40">
            <v>16</v>
          </cell>
        </row>
      </sheetData>
      <sheetData sheetId="33" refreshError="1">
        <row r="40">
          <cell r="E40">
            <v>12</v>
          </cell>
        </row>
      </sheetData>
      <sheetData sheetId="34" refreshError="1">
        <row r="40">
          <cell r="E40">
            <v>21</v>
          </cell>
        </row>
      </sheetData>
      <sheetData sheetId="35" refreshError="1">
        <row r="40">
          <cell r="E40">
            <v>24</v>
          </cell>
        </row>
      </sheetData>
      <sheetData sheetId="36" refreshError="1">
        <row r="40">
          <cell r="E40">
            <v>12</v>
          </cell>
        </row>
      </sheetData>
      <sheetData sheetId="37" refreshError="1">
        <row r="40">
          <cell r="E40">
            <v>9</v>
          </cell>
        </row>
      </sheetData>
      <sheetData sheetId="38" refreshError="1">
        <row r="40">
          <cell r="E40">
            <v>10</v>
          </cell>
        </row>
      </sheetData>
      <sheetData sheetId="39" refreshError="1">
        <row r="40">
          <cell r="E40">
            <v>16</v>
          </cell>
        </row>
      </sheetData>
      <sheetData sheetId="40" refreshError="1">
        <row r="40">
          <cell r="E40">
            <v>22</v>
          </cell>
        </row>
      </sheetData>
      <sheetData sheetId="41" refreshError="1">
        <row r="40">
          <cell r="E40">
            <v>17</v>
          </cell>
        </row>
      </sheetData>
      <sheetData sheetId="42" refreshError="1">
        <row r="40">
          <cell r="E40">
            <v>15</v>
          </cell>
        </row>
      </sheetData>
      <sheetData sheetId="43" refreshError="1">
        <row r="40">
          <cell r="E40">
            <v>15</v>
          </cell>
        </row>
      </sheetData>
      <sheetData sheetId="44" refreshError="1">
        <row r="40">
          <cell r="E40">
            <v>18</v>
          </cell>
        </row>
      </sheetData>
      <sheetData sheetId="45" refreshError="1">
        <row r="40">
          <cell r="E40">
            <v>15</v>
          </cell>
        </row>
      </sheetData>
      <sheetData sheetId="46" refreshError="1">
        <row r="40">
          <cell r="E40">
            <v>16</v>
          </cell>
        </row>
      </sheetData>
      <sheetData sheetId="47" refreshError="1">
        <row r="40">
          <cell r="E40">
            <v>18</v>
          </cell>
        </row>
      </sheetData>
      <sheetData sheetId="48" refreshError="1">
        <row r="40">
          <cell r="E40">
            <v>17</v>
          </cell>
        </row>
      </sheetData>
      <sheetData sheetId="49" refreshError="1">
        <row r="40">
          <cell r="E40">
            <v>11</v>
          </cell>
        </row>
      </sheetData>
      <sheetData sheetId="50" refreshError="1">
        <row r="40">
          <cell r="E40">
            <v>20</v>
          </cell>
        </row>
      </sheetData>
      <sheetData sheetId="51" refreshError="1">
        <row r="40">
          <cell r="E40">
            <v>23</v>
          </cell>
        </row>
      </sheetData>
      <sheetData sheetId="52" refreshError="1">
        <row r="40">
          <cell r="E40">
            <v>22</v>
          </cell>
        </row>
      </sheetData>
      <sheetData sheetId="53" refreshError="1">
        <row r="40">
          <cell r="E40">
            <v>20</v>
          </cell>
        </row>
      </sheetData>
      <sheetData sheetId="54" refreshError="1">
        <row r="40">
          <cell r="E40">
            <v>15</v>
          </cell>
        </row>
      </sheetData>
      <sheetData sheetId="55" refreshError="1">
        <row r="40">
          <cell r="E40">
            <v>16</v>
          </cell>
        </row>
      </sheetData>
      <sheetData sheetId="56" refreshError="1">
        <row r="40">
          <cell r="E40">
            <v>17</v>
          </cell>
        </row>
      </sheetData>
      <sheetData sheetId="57" refreshError="1">
        <row r="40">
          <cell r="E40">
            <v>21</v>
          </cell>
        </row>
      </sheetData>
      <sheetData sheetId="58" refreshError="1">
        <row r="40">
          <cell r="E40">
            <v>0</v>
          </cell>
        </row>
      </sheetData>
      <sheetData sheetId="59" refreshError="1">
        <row r="40">
          <cell r="E40">
            <v>0</v>
          </cell>
        </row>
      </sheetData>
      <sheetData sheetId="60" refreshError="1">
        <row r="40">
          <cell r="E40">
            <v>0</v>
          </cell>
        </row>
      </sheetData>
      <sheetData sheetId="61" refreshError="1"/>
      <sheetData sheetId="62" refreshError="1">
        <row r="40">
          <cell r="E40">
            <v>0</v>
          </cell>
        </row>
      </sheetData>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ctifs CO2"/>
      <sheetName val="Objectifs ECO"/>
      <sheetName val="Objectifs PER"/>
      <sheetName val="Synthèse CO2"/>
      <sheetName val="Synthèse ECO"/>
      <sheetName val="Synthèse PER"/>
      <sheetName val="Budget"/>
      <sheetName val="Agenda communal"/>
      <sheetName val="ADO-1"/>
      <sheetName val="ADO-2"/>
      <sheetName val="ADO-3"/>
      <sheetName val="ADO-4"/>
      <sheetName val="ADO-5"/>
      <sheetName val="ADO-6"/>
      <sheetName val="ADO-7"/>
      <sheetName val="ADO-8"/>
      <sheetName val="ADO-9"/>
      <sheetName val="ADO-10"/>
      <sheetName val="ADO-11"/>
      <sheetName val="ADU-1"/>
      <sheetName val="ADU-2"/>
      <sheetName val="ADU-3"/>
      <sheetName val="ADU-4"/>
      <sheetName val="ADU-5"/>
      <sheetName val="ADU-6"/>
      <sheetName val="ADU-61"/>
      <sheetName val="ADU-7"/>
      <sheetName val="ADU-8"/>
      <sheetName val="ADU-9"/>
      <sheetName val="ADU-10"/>
      <sheetName val="ADU-110"/>
      <sheetName val="ADU-111"/>
      <sheetName val="ADU-112"/>
      <sheetName val="ADU-113"/>
      <sheetName val="ADU-12"/>
      <sheetName val="ADU-13"/>
      <sheetName val="ADU-14"/>
      <sheetName val="ADU-15"/>
      <sheetName val="ADU-16"/>
      <sheetName val="ADU-17"/>
      <sheetName val="ADU-18"/>
      <sheetName val="ADU-19"/>
      <sheetName val="ADU-20"/>
      <sheetName val="ADU-21"/>
      <sheetName val="ADU-22"/>
      <sheetName val="ADU-23"/>
      <sheetName val="ADU-24"/>
      <sheetName val="ADU-25"/>
      <sheetName val="ADU-26"/>
      <sheetName val="ADU-27"/>
      <sheetName val="ADU-28"/>
      <sheetName val="ADU-29"/>
      <sheetName val="ADU-30"/>
      <sheetName val="ADU-31"/>
      <sheetName val="ADU-32"/>
      <sheetName val="ADU-33"/>
      <sheetName val="ADU-34"/>
      <sheetName val="ADU-35"/>
      <sheetName val="ADU-36"/>
      <sheetName val="ADU-37"/>
      <sheetName val="ADU-38"/>
      <sheetName val="ADU-39"/>
      <sheetName val="ADU-40"/>
      <sheetName val="TOIT"/>
      <sheetName val="MUR"/>
      <sheetName val="SOL"/>
      <sheetName val="FEN"/>
      <sheetName val="CHAUD"/>
      <sheetName val="RESUM"/>
      <sheetName val="RESUME CRITE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40">
          <cell r="E40">
            <v>19</v>
          </cell>
        </row>
      </sheetData>
      <sheetData sheetId="10" refreshError="1">
        <row r="40">
          <cell r="E40">
            <v>18</v>
          </cell>
        </row>
      </sheetData>
      <sheetData sheetId="11" refreshError="1"/>
      <sheetData sheetId="12" refreshError="1">
        <row r="40">
          <cell r="E40">
            <v>21</v>
          </cell>
        </row>
      </sheetData>
      <sheetData sheetId="13" refreshError="1">
        <row r="40">
          <cell r="E40">
            <v>22</v>
          </cell>
        </row>
      </sheetData>
      <sheetData sheetId="14" refreshError="1">
        <row r="40">
          <cell r="E40">
            <v>19</v>
          </cell>
        </row>
      </sheetData>
      <sheetData sheetId="15" refreshError="1">
        <row r="40">
          <cell r="E40">
            <v>14</v>
          </cell>
        </row>
      </sheetData>
      <sheetData sheetId="16" refreshError="1">
        <row r="40">
          <cell r="E40">
            <v>14</v>
          </cell>
        </row>
      </sheetData>
      <sheetData sheetId="17" refreshError="1">
        <row r="40">
          <cell r="E40">
            <v>19</v>
          </cell>
        </row>
      </sheetData>
      <sheetData sheetId="18" refreshError="1">
        <row r="40">
          <cell r="E40">
            <v>0</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40">
          <cell r="E40">
            <v>0</v>
          </cell>
        </row>
      </sheetData>
      <sheetData sheetId="30" refreshError="1">
        <row r="40">
          <cell r="E40">
            <v>17</v>
          </cell>
        </row>
      </sheetData>
      <sheetData sheetId="31" refreshError="1">
        <row r="40">
          <cell r="E40">
            <v>22</v>
          </cell>
        </row>
      </sheetData>
      <sheetData sheetId="32" refreshError="1">
        <row r="40">
          <cell r="E40">
            <v>20</v>
          </cell>
        </row>
      </sheetData>
      <sheetData sheetId="33" refreshError="1">
        <row r="40">
          <cell r="E40">
            <v>19</v>
          </cell>
        </row>
      </sheetData>
      <sheetData sheetId="34" refreshError="1">
        <row r="40">
          <cell r="E40">
            <v>23</v>
          </cell>
        </row>
      </sheetData>
      <sheetData sheetId="35" refreshError="1">
        <row r="40">
          <cell r="E40">
            <v>20</v>
          </cell>
        </row>
      </sheetData>
      <sheetData sheetId="36" refreshError="1">
        <row r="40">
          <cell r="E40">
            <v>19</v>
          </cell>
        </row>
      </sheetData>
      <sheetData sheetId="37" refreshError="1">
        <row r="40">
          <cell r="E40">
            <v>24</v>
          </cell>
        </row>
      </sheetData>
      <sheetData sheetId="38" refreshError="1">
        <row r="40">
          <cell r="E40">
            <v>19</v>
          </cell>
        </row>
      </sheetData>
      <sheetData sheetId="39" refreshError="1">
        <row r="40">
          <cell r="E40">
            <v>19</v>
          </cell>
        </row>
      </sheetData>
      <sheetData sheetId="40" refreshError="1">
        <row r="40">
          <cell r="E40">
            <v>22</v>
          </cell>
        </row>
      </sheetData>
      <sheetData sheetId="41" refreshError="1">
        <row r="40">
          <cell r="E40">
            <v>19</v>
          </cell>
        </row>
      </sheetData>
      <sheetData sheetId="42" refreshError="1">
        <row r="40">
          <cell r="E40">
            <v>21</v>
          </cell>
        </row>
      </sheetData>
      <sheetData sheetId="43" refreshError="1">
        <row r="40">
          <cell r="E40">
            <v>24</v>
          </cell>
        </row>
      </sheetData>
      <sheetData sheetId="44" refreshError="1">
        <row r="40">
          <cell r="E40">
            <v>20</v>
          </cell>
        </row>
      </sheetData>
      <sheetData sheetId="45" refreshError="1">
        <row r="40">
          <cell r="E40">
            <v>21</v>
          </cell>
        </row>
      </sheetData>
      <sheetData sheetId="46" refreshError="1">
        <row r="40">
          <cell r="E40">
            <v>19</v>
          </cell>
        </row>
      </sheetData>
      <sheetData sheetId="47" refreshError="1">
        <row r="40">
          <cell r="E40">
            <v>17</v>
          </cell>
        </row>
      </sheetData>
      <sheetData sheetId="48" refreshError="1">
        <row r="40">
          <cell r="E40">
            <v>16</v>
          </cell>
        </row>
      </sheetData>
      <sheetData sheetId="49" refreshError="1">
        <row r="40">
          <cell r="E40">
            <v>20</v>
          </cell>
        </row>
      </sheetData>
      <sheetData sheetId="50" refreshError="1">
        <row r="40">
          <cell r="E40">
            <v>17</v>
          </cell>
        </row>
      </sheetData>
      <sheetData sheetId="51" refreshError="1">
        <row r="40">
          <cell r="E40">
            <v>23</v>
          </cell>
        </row>
      </sheetData>
      <sheetData sheetId="52" refreshError="1">
        <row r="40">
          <cell r="E40">
            <v>19</v>
          </cell>
        </row>
      </sheetData>
      <sheetData sheetId="53" refreshError="1">
        <row r="40">
          <cell r="E40">
            <v>19</v>
          </cell>
        </row>
      </sheetData>
      <sheetData sheetId="54" refreshError="1">
        <row r="40">
          <cell r="E40">
            <v>14</v>
          </cell>
        </row>
      </sheetData>
      <sheetData sheetId="55" refreshError="1">
        <row r="40">
          <cell r="E40">
            <v>17</v>
          </cell>
        </row>
      </sheetData>
      <sheetData sheetId="56" refreshError="1">
        <row r="40">
          <cell r="E40">
            <v>17</v>
          </cell>
        </row>
      </sheetData>
      <sheetData sheetId="57" refreshError="1">
        <row r="40">
          <cell r="E40">
            <v>20</v>
          </cell>
        </row>
      </sheetData>
      <sheetData sheetId="58" refreshError="1">
        <row r="40">
          <cell r="E40">
            <v>0</v>
          </cell>
        </row>
      </sheetData>
      <sheetData sheetId="59" refreshError="1">
        <row r="40">
          <cell r="E40">
            <v>0</v>
          </cell>
        </row>
      </sheetData>
      <sheetData sheetId="60" refreshError="1">
        <row r="40">
          <cell r="E40">
            <v>0</v>
          </cell>
        </row>
      </sheetData>
      <sheetData sheetId="61" refreshError="1"/>
      <sheetData sheetId="62" refreshError="1">
        <row r="40">
          <cell r="E40">
            <v>0</v>
          </cell>
        </row>
      </sheetData>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www.ef4.be/documents/eloral_images/qualiwatt-les-derniers-developpements-reglementaires-et-les-details-pratiques-de-la-mise-en-oeuvre-du-systeme-de-soutien.pdf" TargetMode="External"/></Relationships>
</file>

<file path=xl/worksheets/_rels/sheet54.xml.rels><?xml version="1.0" encoding="UTF-8" standalone="yes"?>
<Relationships xmlns="http://schemas.openxmlformats.org/package/2006/relationships"><Relationship Id="rId3" Type="http://schemas.openxmlformats.org/officeDocument/2006/relationships/hyperlink" Target="http://www.ef4.be/documents/eloral_images/qualiwatt-les-derniers-developpements-reglementaires-et-les-details-pratiques-de-la-mise-en-oeuvre-du-systeme-de-soutien.pdf" TargetMode="External"/><Relationship Id="rId2" Type="http://schemas.openxmlformats.org/officeDocument/2006/relationships/hyperlink" Target="http://www.ef4.be/fr/photovoltaique/cv/" TargetMode="External"/><Relationship Id="rId1" Type="http://schemas.openxmlformats.org/officeDocument/2006/relationships/hyperlink" Target="http://www.cwape.be/docs/?doc=1459" TargetMode="External"/><Relationship Id="rId4" Type="http://schemas.openxmlformats.org/officeDocument/2006/relationships/printerSettings" Target="../printerSettings/printerSettings48.bin"/></Relationships>
</file>

<file path=xl/worksheets/_rels/sheet55.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hyperlink" Target="http://www.ef4.be/documents/eloral_images/qualiwatt-les-derniers-developpements-reglementaires-et-les-details-pratiques-de-la-mise-en-oeuvre-du-systeme-de-soutien.pdf" TargetMode="External"/><Relationship Id="rId1" Type="http://schemas.openxmlformats.org/officeDocument/2006/relationships/hyperlink" Target="http://www.ef4.be/fr/photovoltaique/cv/" TargetMode="External"/></Relationships>
</file>

<file path=xl/worksheets/_rels/sheet56.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hyperlink" Target="http://www.ef4.be/documents/eloral_images/qualiwatt-les-derniers-developpements-reglementaires-et-les-details-pratiques-de-la-mise-en-oeuvre-du-systeme-de-soutien.pdf" TargetMode="External"/><Relationship Id="rId1" Type="http://schemas.openxmlformats.org/officeDocument/2006/relationships/hyperlink" Target="http://www.ef4.be/fr/photovoltaique/cv/" TargetMode="External"/></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4.bin"/></Relationships>
</file>

<file path=xl/worksheets/_rels/sheet8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K94"/>
  <sheetViews>
    <sheetView showGridLines="0" tabSelected="1" zoomScale="130" zoomScaleNormal="130" zoomScaleSheetLayoutView="145" workbookViewId="0">
      <selection activeCell="AA55" sqref="AA55"/>
    </sheetView>
  </sheetViews>
  <sheetFormatPr baseColWidth="10" defaultRowHeight="15" x14ac:dyDescent="0.25"/>
  <cols>
    <col min="1" max="1" width="20.140625" customWidth="1"/>
    <col min="2" max="2" width="18.28515625" style="1" customWidth="1"/>
    <col min="6" max="6" width="14.42578125" customWidth="1"/>
    <col min="7" max="7" width="12.85546875" customWidth="1"/>
    <col min="9" max="9" width="0" hidden="1" customWidth="1"/>
    <col min="10" max="14" width="9.5703125" customWidth="1"/>
  </cols>
  <sheetData>
    <row r="1" spans="1:21" s="1" customFormat="1" ht="26.25" x14ac:dyDescent="0.4">
      <c r="A1" s="8" t="s">
        <v>54</v>
      </c>
      <c r="B1" s="48" t="s">
        <v>83</v>
      </c>
      <c r="C1" s="821" t="s">
        <v>856</v>
      </c>
      <c r="D1" s="821"/>
      <c r="E1" s="821"/>
      <c r="F1" s="821"/>
      <c r="G1" s="821"/>
      <c r="H1" s="821"/>
      <c r="I1" s="821"/>
    </row>
    <row r="2" spans="1:21" s="37" customFormat="1" ht="26.25" x14ac:dyDescent="0.4">
      <c r="A2" s="8"/>
      <c r="B2" s="48"/>
      <c r="C2" s="338"/>
      <c r="D2" s="338"/>
      <c r="E2" s="338"/>
      <c r="F2" s="338"/>
      <c r="G2" s="338"/>
      <c r="H2" s="338"/>
      <c r="I2" s="338"/>
    </row>
    <row r="3" spans="1:21" s="37" customFormat="1" ht="18.75" x14ac:dyDescent="0.3">
      <c r="A3" s="66" t="s">
        <v>69</v>
      </c>
      <c r="B3" s="341">
        <f>T25</f>
        <v>34504.872324986951</v>
      </c>
      <c r="C3" s="340" t="s">
        <v>662</v>
      </c>
      <c r="D3" s="342" t="s">
        <v>32</v>
      </c>
      <c r="E3" s="342" t="s">
        <v>19</v>
      </c>
      <c r="F3" s="343"/>
      <c r="G3" s="827" t="s">
        <v>915</v>
      </c>
      <c r="H3" s="827"/>
      <c r="I3" s="344"/>
      <c r="P3" s="37" t="s">
        <v>18</v>
      </c>
      <c r="R3" s="37" t="s">
        <v>651</v>
      </c>
      <c r="T3" s="37" t="s">
        <v>7</v>
      </c>
      <c r="U3" s="37" t="s">
        <v>611</v>
      </c>
    </row>
    <row r="4" spans="1:21" s="37" customFormat="1" x14ac:dyDescent="0.25">
      <c r="A4" s="345"/>
      <c r="B4" s="345" t="s">
        <v>12</v>
      </c>
      <c r="C4" s="346">
        <f>B3/5</f>
        <v>6900.97446499739</v>
      </c>
      <c r="D4" s="347">
        <f>'Synthèse CO2'!BT91</f>
        <v>8712.9073433284775</v>
      </c>
      <c r="E4" s="347">
        <f>'Synthèse CO2'!BU91</f>
        <v>2744.3094936686957</v>
      </c>
      <c r="F4" s="348"/>
      <c r="G4" s="827" t="s">
        <v>916</v>
      </c>
      <c r="H4" s="827"/>
      <c r="I4" s="349"/>
      <c r="P4" s="37" t="s">
        <v>19</v>
      </c>
      <c r="R4" s="37" t="s">
        <v>50</v>
      </c>
      <c r="T4" s="37" t="s">
        <v>398</v>
      </c>
      <c r="U4" s="37" t="s">
        <v>39</v>
      </c>
    </row>
    <row r="5" spans="1:21" s="37" customFormat="1" x14ac:dyDescent="0.25">
      <c r="A5" s="345"/>
      <c r="B5" s="345" t="s">
        <v>71</v>
      </c>
      <c r="C5" s="350">
        <v>0.20399999999999999</v>
      </c>
      <c r="D5" s="351">
        <f>D4/B3</f>
        <v>0.25251237741920185</v>
      </c>
      <c r="E5" s="352">
        <f>E4/B3</f>
        <v>7.9533970386013703E-2</v>
      </c>
      <c r="F5" s="348"/>
      <c r="I5" s="349"/>
      <c r="R5" s="37" t="s">
        <v>652</v>
      </c>
      <c r="T5" s="37" t="s">
        <v>653</v>
      </c>
      <c r="U5" s="37" t="s">
        <v>61</v>
      </c>
    </row>
    <row r="6" spans="1:21" x14ac:dyDescent="0.25">
      <c r="I6" s="826" t="s">
        <v>410</v>
      </c>
      <c r="U6" t="s">
        <v>35</v>
      </c>
    </row>
    <row r="7" spans="1:21" ht="18.75" x14ac:dyDescent="0.3">
      <c r="A7" s="66" t="s">
        <v>69</v>
      </c>
      <c r="B7" s="81">
        <f>T25</f>
        <v>34504.872324986951</v>
      </c>
      <c r="C7" s="70" t="s">
        <v>12</v>
      </c>
      <c r="D7" s="70" t="s">
        <v>13</v>
      </c>
      <c r="E7" s="67" t="s">
        <v>32</v>
      </c>
      <c r="F7" s="67" t="s">
        <v>70</v>
      </c>
      <c r="G7" s="67" t="s">
        <v>71</v>
      </c>
      <c r="I7" s="826"/>
      <c r="P7" t="s">
        <v>18</v>
      </c>
      <c r="R7" s="37" t="s">
        <v>651</v>
      </c>
      <c r="S7" s="37"/>
      <c r="T7" s="37" t="s">
        <v>7</v>
      </c>
      <c r="U7" t="s">
        <v>41</v>
      </c>
    </row>
    <row r="8" spans="1:21" x14ac:dyDescent="0.25">
      <c r="A8" s="75"/>
      <c r="B8" s="75" t="s">
        <v>965</v>
      </c>
      <c r="C8" s="82">
        <f>B7/5</f>
        <v>6900.97446499739</v>
      </c>
      <c r="D8" s="71">
        <v>0.20399999999999999</v>
      </c>
      <c r="E8" s="60">
        <f>'Synthèse CO2'!BT92</f>
        <v>8712.9073433284775</v>
      </c>
      <c r="F8" s="61">
        <f>E8/B$7</f>
        <v>0.25251237741920185</v>
      </c>
      <c r="G8" s="363">
        <f>E8/C$8</f>
        <v>1.2625618870960091</v>
      </c>
      <c r="I8" s="184">
        <f>E8/T25</f>
        <v>0.25251237741920185</v>
      </c>
      <c r="P8" t="s">
        <v>19</v>
      </c>
      <c r="R8" s="37" t="s">
        <v>50</v>
      </c>
      <c r="S8" s="37"/>
      <c r="T8" s="37" t="s">
        <v>398</v>
      </c>
      <c r="U8" t="s">
        <v>37</v>
      </c>
    </row>
    <row r="9" spans="1:21" s="37" customFormat="1" x14ac:dyDescent="0.25">
      <c r="A9" s="820" t="s">
        <v>23</v>
      </c>
      <c r="B9" s="401" t="s">
        <v>611</v>
      </c>
      <c r="C9" s="63">
        <f t="shared" ref="C9:C15" si="0">C$8*D9</f>
        <v>345.04872324986951</v>
      </c>
      <c r="D9" s="64">
        <v>0.05</v>
      </c>
      <c r="E9" s="60">
        <f>'Synthèse CO2'!R91</f>
        <v>1595.8890827412229</v>
      </c>
      <c r="F9" s="61">
        <f t="shared" ref="F9:F15" si="1">E9/B$7</f>
        <v>4.6251122673639004E-2</v>
      </c>
      <c r="G9" s="73">
        <f t="shared" ref="G9:G15" si="2">E9/C$8</f>
        <v>0.23125561336819503</v>
      </c>
      <c r="I9" s="184">
        <f>E9/E$8</f>
        <v>0.18316378447008325</v>
      </c>
      <c r="P9" t="s">
        <v>20</v>
      </c>
      <c r="R9" s="37" t="s">
        <v>652</v>
      </c>
      <c r="T9" s="37" t="s">
        <v>653</v>
      </c>
      <c r="U9" s="37" t="s">
        <v>40</v>
      </c>
    </row>
    <row r="10" spans="1:21" x14ac:dyDescent="0.25">
      <c r="A10" s="820"/>
      <c r="B10" s="622" t="s">
        <v>39</v>
      </c>
      <c r="C10" s="63">
        <f t="shared" si="0"/>
        <v>690.09744649973902</v>
      </c>
      <c r="D10" s="64">
        <v>0.1</v>
      </c>
      <c r="E10" s="65">
        <f>SUM('Synthèse CO2'!S91)</f>
        <v>0</v>
      </c>
      <c r="F10" s="61">
        <f t="shared" si="1"/>
        <v>0</v>
      </c>
      <c r="G10" s="73">
        <f t="shared" si="2"/>
        <v>0</v>
      </c>
      <c r="I10" s="184">
        <f t="shared" ref="I10:I15" si="3">E10/E$8</f>
        <v>0</v>
      </c>
      <c r="P10" t="s">
        <v>21</v>
      </c>
      <c r="R10" t="s">
        <v>786</v>
      </c>
      <c r="S10" s="37"/>
      <c r="T10" s="37" t="s">
        <v>661</v>
      </c>
    </row>
    <row r="11" spans="1:21" x14ac:dyDescent="0.25">
      <c r="A11" s="820"/>
      <c r="B11" s="623" t="s">
        <v>61</v>
      </c>
      <c r="C11" s="63">
        <f t="shared" si="0"/>
        <v>690.09744649973902</v>
      </c>
      <c r="D11" s="64">
        <v>0.1</v>
      </c>
      <c r="E11" s="65">
        <f>SUM('Synthèse CO2'!T91)</f>
        <v>7.6417859999999997</v>
      </c>
      <c r="F11" s="61">
        <f t="shared" si="1"/>
        <v>2.2146976600942661E-4</v>
      </c>
      <c r="G11" s="73">
        <f t="shared" si="2"/>
        <v>1.107348830047133E-3</v>
      </c>
      <c r="I11" s="184">
        <f t="shared" si="3"/>
        <v>8.770649909242245E-4</v>
      </c>
      <c r="P11" s="1" t="s">
        <v>45</v>
      </c>
      <c r="R11" s="37" t="s">
        <v>654</v>
      </c>
      <c r="S11" s="37"/>
      <c r="T11" t="s">
        <v>784</v>
      </c>
    </row>
    <row r="12" spans="1:21" x14ac:dyDescent="0.25">
      <c r="A12" s="820"/>
      <c r="B12" s="622" t="s">
        <v>35</v>
      </c>
      <c r="C12" s="63">
        <f t="shared" si="0"/>
        <v>3450.487232498695</v>
      </c>
      <c r="D12" s="64">
        <v>0.5</v>
      </c>
      <c r="E12" s="65">
        <f>SUM('Synthèse CO2'!U91)</f>
        <v>5783.6717977308126</v>
      </c>
      <c r="F12" s="61">
        <f t="shared" si="1"/>
        <v>0.16761898850854537</v>
      </c>
      <c r="G12" s="73">
        <f t="shared" si="2"/>
        <v>0.83809494254272687</v>
      </c>
      <c r="I12" s="184">
        <f t="shared" si="3"/>
        <v>0.66380503887251863</v>
      </c>
      <c r="P12" t="s">
        <v>22</v>
      </c>
      <c r="R12" s="37" t="s">
        <v>655</v>
      </c>
      <c r="S12" s="37"/>
      <c r="T12" t="s">
        <v>28</v>
      </c>
    </row>
    <row r="13" spans="1:21" x14ac:dyDescent="0.25">
      <c r="A13" s="820"/>
      <c r="B13" s="622" t="s">
        <v>41</v>
      </c>
      <c r="C13" s="63">
        <f t="shared" si="0"/>
        <v>138.01948929994779</v>
      </c>
      <c r="D13" s="64">
        <v>0.02</v>
      </c>
      <c r="E13" s="65">
        <f>SUM('Synthèse CO2'!V91)</f>
        <v>107.07524999999998</v>
      </c>
      <c r="F13" s="61">
        <f t="shared" si="1"/>
        <v>3.1031921808463169E-3</v>
      </c>
      <c r="G13" s="73">
        <f t="shared" si="2"/>
        <v>1.5515960904231586E-2</v>
      </c>
      <c r="I13" s="184">
        <f t="shared" si="3"/>
        <v>1.22892676096215E-2</v>
      </c>
      <c r="R13" t="s">
        <v>785</v>
      </c>
      <c r="S13" s="37"/>
      <c r="T13" s="37" t="s">
        <v>656</v>
      </c>
    </row>
    <row r="14" spans="1:21" s="37" customFormat="1" x14ac:dyDescent="0.25">
      <c r="A14" s="820"/>
      <c r="B14" s="622" t="s">
        <v>37</v>
      </c>
      <c r="C14" s="63">
        <f t="shared" si="0"/>
        <v>207.02923394992169</v>
      </c>
      <c r="D14" s="64">
        <v>0.03</v>
      </c>
      <c r="E14" s="65">
        <f>SUM('Synthèse CO2'!W91)</f>
        <v>21.976376856440965</v>
      </c>
      <c r="F14" s="61">
        <f t="shared" si="1"/>
        <v>6.3690648234993215E-4</v>
      </c>
      <c r="G14" s="73">
        <f t="shared" si="2"/>
        <v>3.1845324117496607E-3</v>
      </c>
      <c r="I14" s="184">
        <f t="shared" si="3"/>
        <v>2.5222782695225607E-3</v>
      </c>
      <c r="R14" s="37" t="s">
        <v>657</v>
      </c>
      <c r="T14" s="37" t="s">
        <v>906</v>
      </c>
    </row>
    <row r="15" spans="1:21" x14ac:dyDescent="0.25">
      <c r="A15" s="820"/>
      <c r="B15" s="622" t="s">
        <v>40</v>
      </c>
      <c r="C15" s="63">
        <f t="shared" si="0"/>
        <v>1380.194892999478</v>
      </c>
      <c r="D15" s="64">
        <v>0.2</v>
      </c>
      <c r="E15" s="65">
        <f>SUM('Synthèse CO2'!X91)</f>
        <v>1196.6530499999999</v>
      </c>
      <c r="F15" s="58">
        <f t="shared" si="1"/>
        <v>3.4680697807811765E-2</v>
      </c>
      <c r="G15" s="74">
        <f t="shared" si="2"/>
        <v>0.17340348903905883</v>
      </c>
      <c r="I15" s="184">
        <f t="shared" si="3"/>
        <v>0.13734256578732976</v>
      </c>
      <c r="R15" s="37" t="s">
        <v>906</v>
      </c>
    </row>
    <row r="16" spans="1:21" x14ac:dyDescent="0.25">
      <c r="A16" s="4"/>
      <c r="D16" s="62">
        <f>SUM(D9:D15)</f>
        <v>1</v>
      </c>
    </row>
    <row r="17" spans="1:20" x14ac:dyDescent="0.25">
      <c r="A17" s="831" t="s">
        <v>903</v>
      </c>
      <c r="B17" s="832"/>
      <c r="C17" s="828" t="s">
        <v>904</v>
      </c>
      <c r="D17" s="829"/>
      <c r="E17" s="829"/>
      <c r="F17" s="829"/>
      <c r="G17" s="829"/>
      <c r="H17" s="830"/>
    </row>
    <row r="18" spans="1:20" x14ac:dyDescent="0.25">
      <c r="A18" s="649" t="s">
        <v>181</v>
      </c>
      <c r="B18" s="649" t="s">
        <v>907</v>
      </c>
      <c r="C18" s="647" t="s">
        <v>90</v>
      </c>
      <c r="D18" s="751"/>
      <c r="E18" s="751"/>
      <c r="F18" s="647" t="s">
        <v>123</v>
      </c>
      <c r="G18" s="647" t="s">
        <v>134</v>
      </c>
      <c r="H18" s="647" t="s">
        <v>704</v>
      </c>
      <c r="I18" s="645" t="s">
        <v>704</v>
      </c>
      <c r="O18" s="99"/>
      <c r="P18" s="825" t="s">
        <v>66</v>
      </c>
      <c r="Q18" s="825"/>
      <c r="R18" s="825"/>
      <c r="S18" s="825"/>
      <c r="T18" s="825"/>
    </row>
    <row r="19" spans="1:20" x14ac:dyDescent="0.25">
      <c r="A19" s="649" t="s">
        <v>182</v>
      </c>
      <c r="B19" s="649" t="s">
        <v>908</v>
      </c>
      <c r="C19" s="647" t="s">
        <v>92</v>
      </c>
      <c r="D19" s="751"/>
      <c r="E19" s="751"/>
      <c r="F19" s="647" t="s">
        <v>124</v>
      </c>
      <c r="G19" s="647" t="s">
        <v>143</v>
      </c>
      <c r="H19" s="647" t="s">
        <v>707</v>
      </c>
      <c r="I19" s="646" t="s">
        <v>707</v>
      </c>
      <c r="O19" s="102"/>
      <c r="P19" s="103" t="s">
        <v>57</v>
      </c>
      <c r="Q19" s="103" t="s">
        <v>58</v>
      </c>
      <c r="R19" s="103" t="s">
        <v>59</v>
      </c>
      <c r="S19" s="103" t="s">
        <v>67</v>
      </c>
      <c r="T19" s="103" t="s">
        <v>60</v>
      </c>
    </row>
    <row r="20" spans="1:20" x14ac:dyDescent="0.25">
      <c r="A20" s="649" t="s">
        <v>183</v>
      </c>
      <c r="B20" s="650"/>
      <c r="C20" s="647" t="s">
        <v>693</v>
      </c>
      <c r="D20" s="647" t="s">
        <v>157</v>
      </c>
      <c r="E20" s="751"/>
      <c r="F20" s="647" t="s">
        <v>129</v>
      </c>
      <c r="G20" s="647" t="s">
        <v>716</v>
      </c>
      <c r="H20" s="647" t="s">
        <v>708</v>
      </c>
      <c r="I20" s="646" t="s">
        <v>708</v>
      </c>
      <c r="O20" s="49" t="s">
        <v>39</v>
      </c>
      <c r="P20" s="104">
        <v>10.749105867444406</v>
      </c>
      <c r="Q20" s="104">
        <v>0</v>
      </c>
      <c r="R20" s="104">
        <v>474.49067737509972</v>
      </c>
      <c r="S20" s="104">
        <v>0</v>
      </c>
      <c r="T20" s="105">
        <v>485.23978324254415</v>
      </c>
    </row>
    <row r="21" spans="1:20" x14ac:dyDescent="0.25">
      <c r="A21" s="649" t="s">
        <v>190</v>
      </c>
      <c r="B21" s="650"/>
      <c r="C21" s="647" t="s">
        <v>692</v>
      </c>
      <c r="D21" s="647" t="s">
        <v>405</v>
      </c>
      <c r="E21" s="751"/>
      <c r="F21" s="647" t="s">
        <v>130</v>
      </c>
      <c r="G21" s="647" t="s">
        <v>144</v>
      </c>
      <c r="H21" s="647" t="s">
        <v>710</v>
      </c>
      <c r="I21" s="646" t="s">
        <v>710</v>
      </c>
      <c r="O21" s="49" t="s">
        <v>84</v>
      </c>
      <c r="P21" s="105">
        <v>340.41501338632628</v>
      </c>
      <c r="Q21" s="105">
        <v>4469.1247980476237</v>
      </c>
      <c r="R21" s="105">
        <v>131.94894072335575</v>
      </c>
      <c r="S21" s="105">
        <v>0</v>
      </c>
      <c r="T21" s="105">
        <v>4941.4887521573055</v>
      </c>
    </row>
    <row r="22" spans="1:20" x14ac:dyDescent="0.25">
      <c r="A22" s="649" t="s">
        <v>180</v>
      </c>
      <c r="B22" s="650"/>
      <c r="C22" s="647" t="s">
        <v>91</v>
      </c>
      <c r="D22" s="647" t="s">
        <v>879</v>
      </c>
      <c r="E22" s="647" t="s">
        <v>98</v>
      </c>
      <c r="F22" s="647" t="s">
        <v>275</v>
      </c>
      <c r="G22" s="647" t="s">
        <v>146</v>
      </c>
      <c r="H22" s="647" t="s">
        <v>720</v>
      </c>
      <c r="I22" s="646" t="s">
        <v>720</v>
      </c>
      <c r="O22" s="49" t="s">
        <v>35</v>
      </c>
      <c r="P22" s="105">
        <v>1816.2581519990222</v>
      </c>
      <c r="Q22" s="105">
        <v>0</v>
      </c>
      <c r="R22" s="105">
        <v>15774.31571947765</v>
      </c>
      <c r="S22" s="105">
        <v>252.99361345301617</v>
      </c>
      <c r="T22" s="105">
        <v>17843.567484929688</v>
      </c>
    </row>
    <row r="23" spans="1:20" x14ac:dyDescent="0.25">
      <c r="A23" s="649" t="s">
        <v>308</v>
      </c>
      <c r="B23" s="650"/>
      <c r="C23" s="647" t="s">
        <v>601</v>
      </c>
      <c r="D23" s="647" t="s">
        <v>162</v>
      </c>
      <c r="E23" s="647" t="s">
        <v>794</v>
      </c>
      <c r="F23" s="647" t="s">
        <v>793</v>
      </c>
      <c r="G23" s="647" t="s">
        <v>862</v>
      </c>
      <c r="H23" s="648"/>
      <c r="I23" s="645" t="s">
        <v>480</v>
      </c>
      <c r="O23" s="49" t="s">
        <v>41</v>
      </c>
      <c r="P23" s="105">
        <v>969.35457434880891</v>
      </c>
      <c r="Q23" s="105">
        <v>0</v>
      </c>
      <c r="R23" s="105">
        <v>2390.1047024695677</v>
      </c>
      <c r="S23" s="105">
        <v>17.863290694155854</v>
      </c>
      <c r="T23" s="105">
        <v>3377.3225675125323</v>
      </c>
    </row>
    <row r="24" spans="1:20" x14ac:dyDescent="0.25">
      <c r="A24" s="649" t="s">
        <v>309</v>
      </c>
      <c r="B24" s="650"/>
      <c r="C24" s="647" t="s">
        <v>694</v>
      </c>
      <c r="D24" s="647" t="s">
        <v>166</v>
      </c>
      <c r="E24" s="647" t="s">
        <v>101</v>
      </c>
      <c r="F24" s="647" t="s">
        <v>276</v>
      </c>
      <c r="G24" s="647" t="s">
        <v>863</v>
      </c>
      <c r="H24" s="647" t="s">
        <v>480</v>
      </c>
      <c r="I24" s="645" t="s">
        <v>479</v>
      </c>
      <c r="O24" s="49" t="s">
        <v>37</v>
      </c>
      <c r="P24" s="105">
        <v>386.38012753004944</v>
      </c>
      <c r="Q24" s="105">
        <v>0</v>
      </c>
      <c r="R24" s="105">
        <v>7470.8736096148341</v>
      </c>
      <c r="S24" s="105">
        <v>0</v>
      </c>
      <c r="T24" s="105">
        <v>7857.2537371448834</v>
      </c>
    </row>
    <row r="25" spans="1:20" x14ac:dyDescent="0.25">
      <c r="A25" s="649" t="s">
        <v>317</v>
      </c>
      <c r="B25" s="650"/>
      <c r="C25" s="647" t="s">
        <v>695</v>
      </c>
      <c r="D25" s="647" t="s">
        <v>170</v>
      </c>
      <c r="E25" s="647" t="s">
        <v>104</v>
      </c>
      <c r="F25" s="647" t="s">
        <v>287</v>
      </c>
      <c r="G25" s="647" t="s">
        <v>998</v>
      </c>
      <c r="H25" s="647" t="s">
        <v>905</v>
      </c>
      <c r="I25" s="646" t="s">
        <v>719</v>
      </c>
      <c r="O25" s="50" t="s">
        <v>68</v>
      </c>
      <c r="P25" s="106">
        <v>3523.1569731316513</v>
      </c>
      <c r="Q25" s="106">
        <v>4469.1247980476237</v>
      </c>
      <c r="R25" s="106">
        <v>26241.733649660509</v>
      </c>
      <c r="S25" s="106">
        <v>270.85690414717203</v>
      </c>
      <c r="T25" s="106">
        <v>34504.872324986951</v>
      </c>
    </row>
    <row r="26" spans="1:20" x14ac:dyDescent="0.25">
      <c r="A26" s="649" t="s">
        <v>316</v>
      </c>
      <c r="B26" s="650"/>
      <c r="C26" s="647" t="s">
        <v>745</v>
      </c>
      <c r="D26" s="647" t="s">
        <v>409</v>
      </c>
      <c r="E26" s="751"/>
      <c r="F26" s="647" t="s">
        <v>239</v>
      </c>
      <c r="G26" s="647" t="s">
        <v>149</v>
      </c>
      <c r="H26" s="647" t="s">
        <v>479</v>
      </c>
      <c r="I26" s="646" t="s">
        <v>800</v>
      </c>
    </row>
    <row r="27" spans="1:20" x14ac:dyDescent="0.25">
      <c r="A27" s="649" t="s">
        <v>315</v>
      </c>
      <c r="B27" s="650"/>
      <c r="C27" s="647" t="s">
        <v>156</v>
      </c>
      <c r="D27" s="647" t="s">
        <v>406</v>
      </c>
      <c r="E27" s="647" t="s">
        <v>106</v>
      </c>
      <c r="F27" s="751"/>
      <c r="G27" s="647" t="s">
        <v>717</v>
      </c>
      <c r="H27" s="647" t="s">
        <v>719</v>
      </c>
      <c r="I27" s="645" t="s">
        <v>478</v>
      </c>
      <c r="O27" s="51">
        <v>2006</v>
      </c>
      <c r="P27" s="52" t="s">
        <v>57</v>
      </c>
      <c r="Q27" s="52" t="s">
        <v>58</v>
      </c>
      <c r="R27" s="52" t="s">
        <v>59</v>
      </c>
      <c r="S27" s="52" t="s">
        <v>67</v>
      </c>
      <c r="T27" s="53" t="s">
        <v>60</v>
      </c>
    </row>
    <row r="28" spans="1:20" x14ac:dyDescent="0.25">
      <c r="A28" s="649" t="s">
        <v>408</v>
      </c>
      <c r="B28" s="650"/>
      <c r="C28" s="647" t="s">
        <v>939</v>
      </c>
      <c r="D28" s="647" t="s">
        <v>210</v>
      </c>
      <c r="E28" s="647" t="s">
        <v>109</v>
      </c>
      <c r="F28" s="751"/>
      <c r="G28" s="647" t="s">
        <v>148</v>
      </c>
      <c r="H28" s="647" t="s">
        <v>800</v>
      </c>
      <c r="I28" s="645" t="s">
        <v>477</v>
      </c>
      <c r="O28" s="54" t="s">
        <v>39</v>
      </c>
      <c r="P28" s="55">
        <v>9.1872699721747053E-2</v>
      </c>
      <c r="Q28" s="55"/>
      <c r="R28" s="55">
        <v>1.8179719439658992</v>
      </c>
      <c r="S28" s="55"/>
      <c r="T28" s="55">
        <v>1.9098446436876464</v>
      </c>
    </row>
    <row r="29" spans="1:20" x14ac:dyDescent="0.25">
      <c r="A29" s="649" t="s">
        <v>679</v>
      </c>
      <c r="B29" s="650"/>
      <c r="C29" s="647" t="s">
        <v>947</v>
      </c>
      <c r="D29" s="647" t="s">
        <v>211</v>
      </c>
      <c r="E29" s="647" t="s">
        <v>114</v>
      </c>
      <c r="F29" s="751"/>
      <c r="G29" s="647" t="s">
        <v>909</v>
      </c>
      <c r="H29" s="647" t="s">
        <v>478</v>
      </c>
      <c r="O29" s="54" t="s">
        <v>61</v>
      </c>
      <c r="P29" s="55">
        <v>2.9095300289429598</v>
      </c>
      <c r="Q29" s="55">
        <v>22.247733960810553</v>
      </c>
      <c r="R29" s="55">
        <v>0.50555149702435154</v>
      </c>
      <c r="S29" s="55">
        <v>0</v>
      </c>
      <c r="T29" s="55">
        <v>25.662815486777866</v>
      </c>
    </row>
    <row r="30" spans="1:20" x14ac:dyDescent="0.25">
      <c r="A30" s="649" t="s">
        <v>682</v>
      </c>
      <c r="B30" s="650"/>
      <c r="C30" s="647" t="s">
        <v>964</v>
      </c>
      <c r="D30" s="647" t="s">
        <v>196</v>
      </c>
      <c r="E30" s="647" t="s">
        <v>118</v>
      </c>
      <c r="F30" s="751"/>
      <c r="G30" s="648"/>
      <c r="H30" s="647" t="s">
        <v>477</v>
      </c>
      <c r="O30" s="54" t="s">
        <v>35</v>
      </c>
      <c r="P30" s="55">
        <v>15.52357394870959</v>
      </c>
      <c r="Q30" s="55">
        <v>0</v>
      </c>
      <c r="R30" s="55">
        <v>60.437991262366474</v>
      </c>
      <c r="S30" s="55">
        <v>8.433120448433872</v>
      </c>
      <c r="T30" s="55">
        <v>84.394685659509932</v>
      </c>
    </row>
    <row r="31" spans="1:20" x14ac:dyDescent="0.25">
      <c r="A31" s="649" t="s">
        <v>684</v>
      </c>
      <c r="B31" s="650"/>
      <c r="C31" s="751"/>
      <c r="D31" s="647" t="s">
        <v>700</v>
      </c>
      <c r="E31" s="647" t="s">
        <v>121</v>
      </c>
      <c r="F31" s="648"/>
      <c r="G31" s="648"/>
      <c r="H31" s="648"/>
      <c r="O31" s="54" t="s">
        <v>41</v>
      </c>
      <c r="P31" s="55">
        <v>8.2850818320411008</v>
      </c>
      <c r="Q31" s="55">
        <v>0</v>
      </c>
      <c r="R31" s="55">
        <v>9.1574892814925946</v>
      </c>
      <c r="S31" s="55">
        <v>0.59544302313852848</v>
      </c>
      <c r="T31" s="55">
        <v>18.038014136672224</v>
      </c>
    </row>
    <row r="32" spans="1:20" x14ac:dyDescent="0.25">
      <c r="A32" s="649" t="s">
        <v>688</v>
      </c>
      <c r="B32" s="650"/>
      <c r="C32" s="751"/>
      <c r="D32" s="647" t="s">
        <v>95</v>
      </c>
      <c r="E32" s="647" t="s">
        <v>122</v>
      </c>
      <c r="F32" s="648"/>
      <c r="G32" s="648"/>
      <c r="H32" s="648"/>
      <c r="O32" s="54" t="s">
        <v>37</v>
      </c>
      <c r="P32" s="55">
        <v>3.3023942523935848</v>
      </c>
      <c r="Q32" s="55"/>
      <c r="R32" s="55">
        <v>28.712043080764161</v>
      </c>
      <c r="S32" s="55"/>
      <c r="T32" s="55">
        <v>32.014437333157744</v>
      </c>
    </row>
    <row r="33" spans="15:37" x14ac:dyDescent="0.25">
      <c r="O33" s="56" t="s">
        <v>62</v>
      </c>
      <c r="P33" s="57">
        <v>30.112452761808981</v>
      </c>
      <c r="Q33" s="57">
        <v>22.247733960810553</v>
      </c>
      <c r="R33" s="57">
        <v>100.63104706561349</v>
      </c>
      <c r="S33" s="57">
        <v>9.0285634715724008</v>
      </c>
      <c r="T33" s="57">
        <v>162.01979725980539</v>
      </c>
    </row>
    <row r="34" spans="15:37" x14ac:dyDescent="0.25">
      <c r="O34" s="100" t="s">
        <v>62</v>
      </c>
      <c r="P34" s="101">
        <f>P25*1000</f>
        <v>3523156.9731316511</v>
      </c>
      <c r="Q34" s="101">
        <f>Q25*1000</f>
        <v>4469124.7980476236</v>
      </c>
      <c r="R34" s="101">
        <f>R25*1000</f>
        <v>26241733.649660509</v>
      </c>
      <c r="S34" s="101">
        <f>S25*1000</f>
        <v>270856.90414717206</v>
      </c>
      <c r="T34" s="101">
        <f>T25*1000</f>
        <v>34504872.32498695</v>
      </c>
    </row>
    <row r="37" spans="15:37" x14ac:dyDescent="0.25">
      <c r="Q37" t="s">
        <v>66</v>
      </c>
      <c r="X37" t="s">
        <v>897</v>
      </c>
      <c r="AE37" t="s">
        <v>76</v>
      </c>
    </row>
    <row r="38" spans="15:37" x14ac:dyDescent="0.25">
      <c r="P38" s="114">
        <v>2006</v>
      </c>
      <c r="Q38" s="114" t="s">
        <v>57</v>
      </c>
      <c r="R38" s="114" t="s">
        <v>58</v>
      </c>
      <c r="S38" s="114" t="s">
        <v>59</v>
      </c>
      <c r="T38" s="114" t="s">
        <v>67</v>
      </c>
      <c r="U38" s="114" t="s">
        <v>60</v>
      </c>
      <c r="X38" s="1035">
        <v>2006</v>
      </c>
      <c r="Y38" s="1035" t="s">
        <v>57</v>
      </c>
      <c r="Z38" s="1035" t="s">
        <v>58</v>
      </c>
      <c r="AA38" s="1035" t="s">
        <v>59</v>
      </c>
      <c r="AB38" s="1035" t="s">
        <v>67</v>
      </c>
      <c r="AC38" t="s">
        <v>60</v>
      </c>
      <c r="AE38" s="1035">
        <v>2006</v>
      </c>
      <c r="AF38" s="1035" t="s">
        <v>57</v>
      </c>
      <c r="AG38" s="1035" t="s">
        <v>58</v>
      </c>
      <c r="AH38" s="1035" t="s">
        <v>59</v>
      </c>
      <c r="AI38" s="1035" t="s">
        <v>67</v>
      </c>
      <c r="AJ38" s="1035" t="s">
        <v>60</v>
      </c>
    </row>
    <row r="39" spans="15:37" x14ac:dyDescent="0.25">
      <c r="P39" s="114" t="s">
        <v>39</v>
      </c>
      <c r="Q39" s="1034">
        <v>10.749105867444406</v>
      </c>
      <c r="R39" s="1034">
        <v>0</v>
      </c>
      <c r="S39" s="1034">
        <v>474.49067737509972</v>
      </c>
      <c r="T39" s="1034">
        <v>0</v>
      </c>
      <c r="U39" s="1034">
        <v>485.23978324254415</v>
      </c>
      <c r="X39" s="1035" t="s">
        <v>39</v>
      </c>
      <c r="Y39" s="1036">
        <v>9.1872699721747053E-2</v>
      </c>
      <c r="Z39" s="1036"/>
      <c r="AA39" s="1036">
        <v>1.8179719439658992</v>
      </c>
      <c r="AB39" s="1036"/>
      <c r="AC39" s="644">
        <v>1.9098446436876464</v>
      </c>
      <c r="AE39" s="1035" t="s">
        <v>39</v>
      </c>
      <c r="AF39" s="1036">
        <v>91.872699721747054</v>
      </c>
      <c r="AG39" s="1036">
        <v>0</v>
      </c>
      <c r="AH39" s="1036">
        <v>1817.9719439658993</v>
      </c>
      <c r="AI39" s="1036">
        <v>0</v>
      </c>
      <c r="AJ39" s="1036">
        <v>1909.8446436876463</v>
      </c>
    </row>
    <row r="40" spans="15:37" x14ac:dyDescent="0.25">
      <c r="P40" s="114" t="s">
        <v>84</v>
      </c>
      <c r="Q40" s="1034">
        <v>340.41501338632628</v>
      </c>
      <c r="R40" s="1034">
        <v>4469.1247980476237</v>
      </c>
      <c r="S40" s="1034">
        <v>131.94894072335575</v>
      </c>
      <c r="T40" s="1034">
        <v>0</v>
      </c>
      <c r="U40" s="1034">
        <v>4941.4887521573055</v>
      </c>
      <c r="X40" s="1035" t="s">
        <v>84</v>
      </c>
      <c r="Y40" s="1036">
        <v>2.9095300289429598</v>
      </c>
      <c r="Z40" s="1036">
        <v>22.247733960810553</v>
      </c>
      <c r="AA40" s="1036">
        <v>0.50555149702435154</v>
      </c>
      <c r="AB40" s="1036">
        <v>0</v>
      </c>
      <c r="AC40" s="644">
        <v>25.662815486777866</v>
      </c>
      <c r="AE40" s="1035" t="s">
        <v>84</v>
      </c>
      <c r="AF40" s="1036">
        <v>2909.5300289429597</v>
      </c>
      <c r="AG40" s="1036">
        <v>22247.733960810554</v>
      </c>
      <c r="AH40" s="1036">
        <v>505.55149702435153</v>
      </c>
      <c r="AI40" s="1036">
        <v>0</v>
      </c>
      <c r="AJ40" s="1036">
        <v>25662.815486777865</v>
      </c>
    </row>
    <row r="41" spans="15:37" x14ac:dyDescent="0.25">
      <c r="P41" s="114" t="s">
        <v>35</v>
      </c>
      <c r="Q41" s="1034">
        <v>1816.2581519990222</v>
      </c>
      <c r="R41" s="1034">
        <v>0</v>
      </c>
      <c r="S41" s="1034">
        <v>15774.31571947765</v>
      </c>
      <c r="T41" s="1034">
        <v>252.99361345301617</v>
      </c>
      <c r="U41" s="1034">
        <v>17843.567484929688</v>
      </c>
      <c r="X41" s="1035" t="s">
        <v>35</v>
      </c>
      <c r="Y41" s="1036">
        <v>15.52357394870959</v>
      </c>
      <c r="Z41" s="1036">
        <v>0</v>
      </c>
      <c r="AA41" s="1036">
        <v>60.437991262366474</v>
      </c>
      <c r="AB41" s="1036">
        <v>8.433120448433872</v>
      </c>
      <c r="AC41" s="644">
        <v>84.394685659509932</v>
      </c>
      <c r="AE41" s="1035" t="s">
        <v>35</v>
      </c>
      <c r="AF41" s="1036">
        <v>15523.573948709591</v>
      </c>
      <c r="AG41" s="1036">
        <v>0</v>
      </c>
      <c r="AH41" s="1036">
        <v>60437.991262366471</v>
      </c>
      <c r="AI41" s="1036">
        <v>8433.1204484338723</v>
      </c>
      <c r="AJ41" s="1036">
        <v>84394.685659509923</v>
      </c>
    </row>
    <row r="42" spans="15:37" x14ac:dyDescent="0.25">
      <c r="P42" s="114" t="s">
        <v>41</v>
      </c>
      <c r="Q42" s="1034">
        <v>969.35457434880891</v>
      </c>
      <c r="R42" s="1034">
        <v>0</v>
      </c>
      <c r="S42" s="1034">
        <v>2390.1047024695677</v>
      </c>
      <c r="T42" s="1034">
        <v>17.863290694155854</v>
      </c>
      <c r="U42" s="1034">
        <v>3377.3225675125323</v>
      </c>
      <c r="X42" s="1035" t="s">
        <v>41</v>
      </c>
      <c r="Y42" s="1036">
        <v>8.2850818320411008</v>
      </c>
      <c r="Z42" s="1036">
        <v>0</v>
      </c>
      <c r="AA42" s="1036">
        <v>9.1574892814925946</v>
      </c>
      <c r="AB42" s="1036">
        <v>0.59544302313852848</v>
      </c>
      <c r="AC42" s="644">
        <v>18.038014136672224</v>
      </c>
      <c r="AE42" s="1035" t="s">
        <v>41</v>
      </c>
      <c r="AF42" s="1036">
        <v>8285.0818320411017</v>
      </c>
      <c r="AG42" s="1036">
        <v>0</v>
      </c>
      <c r="AH42" s="1036">
        <v>9157.4892814925952</v>
      </c>
      <c r="AI42" s="1036">
        <v>595.44302313852847</v>
      </c>
      <c r="AJ42" s="1036">
        <v>18038.014136672224</v>
      </c>
    </row>
    <row r="43" spans="15:37" x14ac:dyDescent="0.25">
      <c r="P43" s="114" t="s">
        <v>37</v>
      </c>
      <c r="Q43" s="1034">
        <v>386.38012753004944</v>
      </c>
      <c r="R43" s="1034">
        <v>0</v>
      </c>
      <c r="S43" s="1034">
        <v>7470.8736096148341</v>
      </c>
      <c r="T43" s="1034">
        <v>0</v>
      </c>
      <c r="U43" s="1034">
        <v>7857.2537371448834</v>
      </c>
      <c r="X43" s="1035" t="s">
        <v>37</v>
      </c>
      <c r="Y43" s="1036">
        <v>3.3023942523935848</v>
      </c>
      <c r="Z43" s="1036"/>
      <c r="AA43" s="1036">
        <v>28.712043080764161</v>
      </c>
      <c r="AB43" s="1036"/>
      <c r="AC43" s="644">
        <v>32.014437333157744</v>
      </c>
      <c r="AE43" s="1035" t="s">
        <v>37</v>
      </c>
      <c r="AF43" s="1036">
        <v>3302.3942523935848</v>
      </c>
      <c r="AG43" s="1036">
        <v>0</v>
      </c>
      <c r="AH43" s="1036">
        <v>28712.043080764161</v>
      </c>
      <c r="AI43" s="1036">
        <v>0</v>
      </c>
      <c r="AJ43" s="1036">
        <v>32014.437333157744</v>
      </c>
    </row>
    <row r="44" spans="15:37" x14ac:dyDescent="0.25">
      <c r="P44" s="114" t="s">
        <v>68</v>
      </c>
      <c r="Q44" s="1034">
        <v>3523.1569731316513</v>
      </c>
      <c r="R44" s="1034">
        <v>4469.1247980476237</v>
      </c>
      <c r="S44" s="1034">
        <v>26241.733649660509</v>
      </c>
      <c r="T44" s="1034">
        <v>270.85690414717203</v>
      </c>
      <c r="U44" s="1034">
        <v>34504.872324986951</v>
      </c>
      <c r="X44" s="1035" t="s">
        <v>68</v>
      </c>
      <c r="Y44" s="1036">
        <v>30.112452761808981</v>
      </c>
      <c r="Z44" s="1036">
        <v>22.247733960810553</v>
      </c>
      <c r="AA44" s="1036">
        <v>100.63104706561349</v>
      </c>
      <c r="AB44" s="1036">
        <v>9.0285634715724008</v>
      </c>
      <c r="AC44" s="644">
        <v>162.01979725980539</v>
      </c>
      <c r="AE44" s="1035" t="s">
        <v>68</v>
      </c>
      <c r="AF44" s="1036">
        <v>30112.452761808981</v>
      </c>
      <c r="AG44" s="1036">
        <v>22247.733960810554</v>
      </c>
      <c r="AH44" s="1036">
        <v>100631.04706561347</v>
      </c>
      <c r="AI44" s="1036">
        <v>9028.5634715724009</v>
      </c>
      <c r="AJ44" s="1036">
        <v>162019.7972598054</v>
      </c>
    </row>
    <row r="46" spans="15:37" x14ac:dyDescent="0.25">
      <c r="Q46" t="s">
        <v>66</v>
      </c>
      <c r="X46" t="s">
        <v>897</v>
      </c>
      <c r="AE46" t="s">
        <v>76</v>
      </c>
    </row>
    <row r="47" spans="15:37" x14ac:dyDescent="0.25">
      <c r="P47" s="114">
        <v>2014</v>
      </c>
      <c r="Q47" s="114" t="s">
        <v>57</v>
      </c>
      <c r="R47" s="114" t="s">
        <v>58</v>
      </c>
      <c r="S47" s="114" t="s">
        <v>59</v>
      </c>
      <c r="T47" s="114" t="s">
        <v>67</v>
      </c>
      <c r="U47" s="114" t="s">
        <v>60</v>
      </c>
      <c r="X47" s="1035">
        <v>2014</v>
      </c>
      <c r="Y47" s="1035" t="s">
        <v>57</v>
      </c>
      <c r="Z47" s="1035" t="s">
        <v>58</v>
      </c>
      <c r="AA47" s="1035" t="s">
        <v>59</v>
      </c>
      <c r="AB47" s="1035" t="s">
        <v>67</v>
      </c>
      <c r="AC47" t="s">
        <v>60</v>
      </c>
      <c r="AE47" s="1035">
        <v>2014</v>
      </c>
      <c r="AF47" s="1035" t="s">
        <v>57</v>
      </c>
      <c r="AG47" s="1035" t="s">
        <v>58</v>
      </c>
      <c r="AH47" s="1035" t="s">
        <v>59</v>
      </c>
      <c r="AI47" s="1035" t="s">
        <v>67</v>
      </c>
      <c r="AJ47" s="1035" t="s">
        <v>60</v>
      </c>
    </row>
    <row r="48" spans="15:37" x14ac:dyDescent="0.25">
      <c r="P48" s="114" t="s">
        <v>39</v>
      </c>
      <c r="Q48" s="1034">
        <v>17.268551563565534</v>
      </c>
      <c r="R48" s="1034">
        <v>0</v>
      </c>
      <c r="S48" s="1034">
        <v>595.4636002579972</v>
      </c>
      <c r="T48" s="1034">
        <v>0</v>
      </c>
      <c r="U48" s="1034">
        <v>612.73215182156275</v>
      </c>
      <c r="V48" s="644">
        <f>U39-U48</f>
        <v>-127.4923685790186</v>
      </c>
      <c r="X48" s="1035" t="s">
        <v>39</v>
      </c>
      <c r="Y48" s="1036">
        <v>0.14759445780825242</v>
      </c>
      <c r="Z48" s="1036"/>
      <c r="AA48" s="1036">
        <v>2.2814697327892612</v>
      </c>
      <c r="AB48" s="1036"/>
      <c r="AC48" s="644">
        <v>2.4290641905975137</v>
      </c>
      <c r="AE48" s="1035" t="s">
        <v>39</v>
      </c>
      <c r="AF48" s="1036">
        <v>147.59445780825243</v>
      </c>
      <c r="AG48" s="1036">
        <v>0</v>
      </c>
      <c r="AH48" s="1036">
        <v>2281.4697327892613</v>
      </c>
      <c r="AI48" s="1036">
        <v>0</v>
      </c>
      <c r="AJ48" s="1036">
        <v>2429.064190597514</v>
      </c>
      <c r="AK48" s="644">
        <f t="shared" ref="AK48:AK52" si="4">AJ39-AJ48</f>
        <v>-519.21954690986763</v>
      </c>
    </row>
    <row r="49" spans="16:37" x14ac:dyDescent="0.25">
      <c r="P49" s="114" t="s">
        <v>84</v>
      </c>
      <c r="Q49" s="1034">
        <v>516.61687043501206</v>
      </c>
      <c r="R49" s="1034">
        <v>6051.082123153029</v>
      </c>
      <c r="S49" s="1034">
        <v>405.10676774511711</v>
      </c>
      <c r="T49" s="1034">
        <v>0</v>
      </c>
      <c r="U49" s="1034">
        <v>6972.8057613331584</v>
      </c>
      <c r="V49">
        <v>-2031.3170091758529</v>
      </c>
      <c r="X49" s="1035" t="s">
        <v>84</v>
      </c>
      <c r="Y49" s="1036">
        <v>4.4155288071368552</v>
      </c>
      <c r="Z49" s="1036">
        <v>30.122869987818742</v>
      </c>
      <c r="AA49" s="1036">
        <v>1.5521332097514065</v>
      </c>
      <c r="AB49" s="1036">
        <v>0</v>
      </c>
      <c r="AC49" s="644">
        <v>36.090532004707001</v>
      </c>
      <c r="AE49" s="1035" t="s">
        <v>84</v>
      </c>
      <c r="AF49" s="1036">
        <v>4415.528807136855</v>
      </c>
      <c r="AG49" s="1036">
        <v>30122.869987818744</v>
      </c>
      <c r="AH49" s="1036">
        <v>1552.1332097514064</v>
      </c>
      <c r="AI49" s="1036">
        <v>0</v>
      </c>
      <c r="AJ49" s="1036">
        <v>36090.532004707005</v>
      </c>
      <c r="AK49" s="644">
        <f t="shared" si="4"/>
        <v>-10427.716517929141</v>
      </c>
    </row>
    <row r="50" spans="16:37" x14ac:dyDescent="0.25">
      <c r="P50" s="114" t="s">
        <v>35</v>
      </c>
      <c r="Q50" s="1034">
        <v>1895.3420946068807</v>
      </c>
      <c r="R50" s="1034">
        <v>0</v>
      </c>
      <c r="S50" s="1034">
        <v>11048.026565959719</v>
      </c>
      <c r="T50" s="1034">
        <v>393.20283863227718</v>
      </c>
      <c r="U50" s="1034">
        <v>13336.571499198875</v>
      </c>
      <c r="V50">
        <v>4506.9959857308131</v>
      </c>
      <c r="X50" s="1035" t="s">
        <v>35</v>
      </c>
      <c r="Y50" s="1036">
        <v>16.19950508211009</v>
      </c>
      <c r="Z50" s="1036">
        <v>0</v>
      </c>
      <c r="AA50" s="1036">
        <v>42.329603700995087</v>
      </c>
      <c r="AB50" s="1036">
        <v>13.106761287742573</v>
      </c>
      <c r="AC50" s="644">
        <v>71.635870070847744</v>
      </c>
      <c r="AE50" s="1035" t="s">
        <v>35</v>
      </c>
      <c r="AF50" s="1036">
        <v>16199.50508211009</v>
      </c>
      <c r="AG50" s="1036">
        <v>0</v>
      </c>
      <c r="AH50" s="1036">
        <v>42329.603700995089</v>
      </c>
      <c r="AI50" s="1036">
        <v>13106.761287742573</v>
      </c>
      <c r="AJ50" s="1036">
        <v>71635.870070847755</v>
      </c>
      <c r="AK50" s="644">
        <f t="shared" si="4"/>
        <v>12758.815588662168</v>
      </c>
    </row>
    <row r="51" spans="16:37" x14ac:dyDescent="0.25">
      <c r="P51" s="114" t="s">
        <v>41</v>
      </c>
      <c r="Q51" s="1034">
        <v>971.10006154553798</v>
      </c>
      <c r="R51" s="1034">
        <v>0</v>
      </c>
      <c r="S51" s="1034">
        <v>2736.0497328022143</v>
      </c>
      <c r="T51" s="1034">
        <v>339.20012095190526</v>
      </c>
      <c r="U51" s="1034">
        <v>4046.3499152996578</v>
      </c>
      <c r="V51">
        <v>-669.02734778712556</v>
      </c>
      <c r="X51" s="1035" t="s">
        <v>41</v>
      </c>
      <c r="Y51" s="1036">
        <v>8.3000005260302387</v>
      </c>
      <c r="Z51" s="1036">
        <v>0</v>
      </c>
      <c r="AA51" s="1036">
        <v>10.482949167824575</v>
      </c>
      <c r="AB51" s="1036">
        <v>11.306670698396843</v>
      </c>
      <c r="AC51" s="644">
        <v>30.089620392251657</v>
      </c>
      <c r="AE51" s="1035" t="s">
        <v>41</v>
      </c>
      <c r="AF51" s="1036">
        <v>8300.0005260302387</v>
      </c>
      <c r="AG51" s="1036">
        <v>0</v>
      </c>
      <c r="AH51" s="1036">
        <v>10482.949167824576</v>
      </c>
      <c r="AI51" s="1036">
        <v>11306.670698396843</v>
      </c>
      <c r="AJ51" s="1036">
        <v>30089.620392251658</v>
      </c>
      <c r="AK51" s="644">
        <f t="shared" si="4"/>
        <v>-12051.606255579434</v>
      </c>
    </row>
    <row r="52" spans="16:37" x14ac:dyDescent="0.25">
      <c r="P52" s="114" t="s">
        <v>37</v>
      </c>
      <c r="Q52" s="1034">
        <v>367.97731625250896</v>
      </c>
      <c r="R52" s="1034">
        <v>0</v>
      </c>
      <c r="S52" s="1034">
        <v>7085.1259267964269</v>
      </c>
      <c r="T52" s="1034">
        <v>0</v>
      </c>
      <c r="U52" s="1034">
        <v>7453.1032430489358</v>
      </c>
      <c r="V52" s="644">
        <f>U43-U52</f>
        <v>404.15049409594758</v>
      </c>
      <c r="X52" s="1035" t="s">
        <v>37</v>
      </c>
      <c r="Y52" s="1036">
        <v>3.1451052671154613</v>
      </c>
      <c r="Z52" s="1036"/>
      <c r="AA52" s="1036">
        <v>27.229538534959367</v>
      </c>
      <c r="AB52" s="1036"/>
      <c r="AC52" s="644">
        <v>30.374643802074829</v>
      </c>
      <c r="AE52" s="1035" t="s">
        <v>37</v>
      </c>
      <c r="AF52" s="1036">
        <v>3145.1052671154612</v>
      </c>
      <c r="AG52" s="1036">
        <v>0</v>
      </c>
      <c r="AH52" s="1036">
        <v>27229.538534959367</v>
      </c>
      <c r="AI52" s="1036">
        <v>0</v>
      </c>
      <c r="AJ52" s="1036">
        <v>30374.643802074828</v>
      </c>
      <c r="AK52" s="644">
        <f t="shared" si="4"/>
        <v>1639.7935310829162</v>
      </c>
    </row>
    <row r="53" spans="16:37" x14ac:dyDescent="0.25">
      <c r="P53" s="114" t="s">
        <v>68</v>
      </c>
      <c r="Q53" s="1034">
        <v>3768.3048944035054</v>
      </c>
      <c r="R53" s="1034">
        <v>6051.082123153029</v>
      </c>
      <c r="S53" s="1034">
        <v>21869.772593561473</v>
      </c>
      <c r="T53" s="1034">
        <v>732.40295958418244</v>
      </c>
      <c r="U53" s="1034">
        <v>32421.56257070219</v>
      </c>
      <c r="V53" s="644">
        <f>U44-U53</f>
        <v>2083.3097542847609</v>
      </c>
      <c r="X53" s="1035" t="s">
        <v>68</v>
      </c>
      <c r="Y53" s="1036">
        <v>32.207734140200898</v>
      </c>
      <c r="Z53" s="1036">
        <v>30.122869987818742</v>
      </c>
      <c r="AA53" s="1036">
        <v>83.875694346319705</v>
      </c>
      <c r="AB53" s="1036">
        <v>24.413431986139415</v>
      </c>
      <c r="AC53" s="644">
        <v>170.61973046047876</v>
      </c>
      <c r="AE53" s="1035" t="s">
        <v>68</v>
      </c>
      <c r="AF53" s="1036">
        <v>32207.734140200897</v>
      </c>
      <c r="AG53" s="1036">
        <v>30122.869987818744</v>
      </c>
      <c r="AH53" s="1036">
        <v>83875.694346319695</v>
      </c>
      <c r="AI53" s="1036">
        <v>24413.431986139418</v>
      </c>
      <c r="AJ53" s="1036">
        <v>170619.73046047875</v>
      </c>
      <c r="AK53" s="644">
        <f>AJ44-AJ53</f>
        <v>-8599.9332006733457</v>
      </c>
    </row>
    <row r="74" spans="1:5" x14ac:dyDescent="0.25">
      <c r="A74" s="25" t="s">
        <v>55</v>
      </c>
      <c r="B74" s="18"/>
      <c r="C74" s="18"/>
      <c r="D74" s="18"/>
      <c r="E74" s="18"/>
    </row>
    <row r="75" spans="1:5" ht="15.75" thickBot="1" x14ac:dyDescent="0.3">
      <c r="A75" s="18"/>
      <c r="B75" s="18"/>
      <c r="C75" s="18"/>
      <c r="D75" s="18"/>
      <c r="E75" s="18"/>
    </row>
    <row r="76" spans="1:5" ht="21.75" thickBot="1" x14ac:dyDescent="0.4">
      <c r="A76" s="27" t="s">
        <v>56</v>
      </c>
      <c r="B76" s="822" t="s">
        <v>12</v>
      </c>
      <c r="C76" s="823"/>
      <c r="D76" s="823"/>
      <c r="E76" s="824"/>
    </row>
    <row r="77" spans="1:5" ht="15.75" thickBot="1" x14ac:dyDescent="0.3">
      <c r="A77" s="25">
        <v>2006</v>
      </c>
      <c r="B77" s="28" t="s">
        <v>57</v>
      </c>
      <c r="C77" s="29" t="s">
        <v>58</v>
      </c>
      <c r="D77" s="28" t="s">
        <v>59</v>
      </c>
      <c r="E77" s="28" t="s">
        <v>60</v>
      </c>
    </row>
    <row r="78" spans="1:5" x14ac:dyDescent="0.25">
      <c r="A78" s="21" t="s">
        <v>61</v>
      </c>
      <c r="B78" s="22">
        <v>312.75878105529927</v>
      </c>
      <c r="C78" s="32">
        <v>0</v>
      </c>
      <c r="D78" s="22">
        <v>600.76259271167919</v>
      </c>
      <c r="E78" s="33">
        <v>913.52137376697851</v>
      </c>
    </row>
    <row r="79" spans="1:5" x14ac:dyDescent="0.25">
      <c r="A79" s="26" t="s">
        <v>41</v>
      </c>
      <c r="B79" s="23">
        <v>1121.6238983366591</v>
      </c>
      <c r="C79" s="30">
        <v>0</v>
      </c>
      <c r="D79" s="23">
        <v>1184.8504960793791</v>
      </c>
      <c r="E79" s="34">
        <v>2306.4743944160382</v>
      </c>
    </row>
    <row r="80" spans="1:5" x14ac:dyDescent="0.25">
      <c r="A80" s="26" t="s">
        <v>35</v>
      </c>
      <c r="B80" s="23">
        <v>3141.8247386753856</v>
      </c>
      <c r="C80" s="30">
        <v>0</v>
      </c>
      <c r="D80" s="23">
        <v>9972.467138864773</v>
      </c>
      <c r="E80" s="34">
        <v>13114.291877540159</v>
      </c>
    </row>
    <row r="81" spans="1:5" x14ac:dyDescent="0.25">
      <c r="A81" s="26" t="s">
        <v>39</v>
      </c>
      <c r="B81" s="23">
        <v>22.318480504512781</v>
      </c>
      <c r="C81" s="30">
        <v>0</v>
      </c>
      <c r="D81" s="23">
        <v>1257.9132823326966</v>
      </c>
      <c r="E81" s="34">
        <v>1280.2317628372093</v>
      </c>
    </row>
    <row r="82" spans="1:5" ht="15.75" thickBot="1" x14ac:dyDescent="0.3">
      <c r="A82" s="26" t="s">
        <v>37</v>
      </c>
      <c r="B82" s="23">
        <v>0</v>
      </c>
      <c r="C82" s="30">
        <v>0</v>
      </c>
      <c r="D82" s="23">
        <v>11701.317475443633</v>
      </c>
      <c r="E82" s="34">
        <v>11701.317475443633</v>
      </c>
    </row>
    <row r="83" spans="1:5" ht="15.75" thickBot="1" x14ac:dyDescent="0.3">
      <c r="A83" s="20" t="s">
        <v>62</v>
      </c>
      <c r="B83" s="24">
        <v>4598.5258985718565</v>
      </c>
      <c r="C83" s="31">
        <v>0</v>
      </c>
      <c r="D83" s="24">
        <v>24717.310985432156</v>
      </c>
      <c r="E83" s="24">
        <v>29315.83688400402</v>
      </c>
    </row>
    <row r="84" spans="1:5" x14ac:dyDescent="0.25">
      <c r="A84" s="36" t="s">
        <v>63</v>
      </c>
      <c r="B84" s="18"/>
      <c r="C84" s="18"/>
      <c r="D84" s="18"/>
      <c r="E84" s="19">
        <v>626</v>
      </c>
    </row>
    <row r="85" spans="1:5" x14ac:dyDescent="0.25">
      <c r="A85" s="10"/>
      <c r="B85" s="10"/>
      <c r="C85" s="10"/>
      <c r="D85" s="10"/>
      <c r="E85" s="10"/>
    </row>
    <row r="86" spans="1:5" ht="15.75" thickBot="1" x14ac:dyDescent="0.3">
      <c r="A86" s="35" t="s">
        <v>64</v>
      </c>
      <c r="B86" s="18"/>
      <c r="C86" s="18"/>
      <c r="D86" s="18"/>
      <c r="E86" s="18"/>
    </row>
    <row r="87" spans="1:5" ht="15.75" thickBot="1" x14ac:dyDescent="0.3">
      <c r="A87" s="25">
        <v>2012</v>
      </c>
      <c r="B87" s="28" t="s">
        <v>57</v>
      </c>
      <c r="C87" s="29" t="s">
        <v>58</v>
      </c>
      <c r="D87" s="28" t="s">
        <v>59</v>
      </c>
      <c r="E87" s="28" t="s">
        <v>60</v>
      </c>
    </row>
    <row r="88" spans="1:5" x14ac:dyDescent="0.25">
      <c r="A88" s="21" t="s">
        <v>61</v>
      </c>
      <c r="B88" s="22">
        <v>339.5151321411127</v>
      </c>
      <c r="C88" s="32">
        <v>0</v>
      </c>
      <c r="D88" s="22">
        <v>227.69900332160356</v>
      </c>
      <c r="E88" s="33">
        <v>567.21413546271629</v>
      </c>
    </row>
    <row r="89" spans="1:5" x14ac:dyDescent="0.25">
      <c r="A89" s="26" t="s">
        <v>41</v>
      </c>
      <c r="B89" s="23">
        <v>1271.9379096458265</v>
      </c>
      <c r="C89" s="30">
        <v>0</v>
      </c>
      <c r="D89" s="23">
        <v>1084.1158799859006</v>
      </c>
      <c r="E89" s="34">
        <v>2356.0537896317273</v>
      </c>
    </row>
    <row r="90" spans="1:5" x14ac:dyDescent="0.25">
      <c r="A90" s="26" t="s">
        <v>35</v>
      </c>
      <c r="B90" s="23">
        <v>3100.3902375988268</v>
      </c>
      <c r="C90" s="30">
        <v>0</v>
      </c>
      <c r="D90" s="23">
        <v>9760.2259911549918</v>
      </c>
      <c r="E90" s="34">
        <v>12860.616228753819</v>
      </c>
    </row>
    <row r="91" spans="1:5" x14ac:dyDescent="0.25">
      <c r="A91" s="26" t="s">
        <v>39</v>
      </c>
      <c r="B91" s="23">
        <v>13.2493458347389</v>
      </c>
      <c r="C91" s="30">
        <v>0</v>
      </c>
      <c r="D91" s="23">
        <v>1270.7754536550046</v>
      </c>
      <c r="E91" s="34">
        <v>1284.0247994897436</v>
      </c>
    </row>
    <row r="92" spans="1:5" ht="15.75" thickBot="1" x14ac:dyDescent="0.3">
      <c r="A92" s="26" t="s">
        <v>37</v>
      </c>
      <c r="B92" s="23">
        <v>0</v>
      </c>
      <c r="C92" s="30">
        <v>0</v>
      </c>
      <c r="D92" s="23">
        <v>12058.211282254259</v>
      </c>
      <c r="E92" s="34">
        <v>12058.211282254259</v>
      </c>
    </row>
    <row r="93" spans="1:5" ht="15.75" thickBot="1" x14ac:dyDescent="0.3">
      <c r="A93" s="20" t="s">
        <v>62</v>
      </c>
      <c r="B93" s="24">
        <v>4725.0926252205054</v>
      </c>
      <c r="C93" s="24">
        <v>0</v>
      </c>
      <c r="D93" s="24">
        <v>24401.027610371759</v>
      </c>
      <c r="E93" s="24">
        <v>29126.120235592265</v>
      </c>
    </row>
    <row r="94" spans="1:5" x14ac:dyDescent="0.25">
      <c r="A94" s="36" t="s">
        <v>63</v>
      </c>
      <c r="B94" s="18"/>
      <c r="C94" s="18"/>
      <c r="D94" s="18"/>
      <c r="E94" s="19">
        <v>728</v>
      </c>
    </row>
  </sheetData>
  <mergeCells count="9">
    <mergeCell ref="A9:A15"/>
    <mergeCell ref="C1:I1"/>
    <mergeCell ref="B76:E76"/>
    <mergeCell ref="P18:T18"/>
    <mergeCell ref="I6:I7"/>
    <mergeCell ref="G3:H3"/>
    <mergeCell ref="G4:H4"/>
    <mergeCell ref="C17:H17"/>
    <mergeCell ref="A17:B17"/>
  </mergeCells>
  <dataValidations disablePrompts="1" count="1">
    <dataValidation type="list" allowBlank="1" showInputMessage="1" showErrorMessage="1" sqref="O27">
      <formula1>$B$12:$B$14</formula1>
    </dataValidation>
  </dataValidations>
  <hyperlinks>
    <hyperlink ref="D27" location="'ADU-110'!A1" display="'ADU-110'!A1"/>
    <hyperlink ref="D28" location="'ADU-111'!A1" display="'ADU-111'!A1"/>
    <hyperlink ref="D29" location="'ADU-112'!A1" display="'ADU-112'!A1"/>
    <hyperlink ref="D30" location="'ADU-113'!A1" display="'ADU-113'!A1"/>
    <hyperlink ref="G3" location="'Synthèse CO2'!A1" display="vers Synthèse CO2"/>
    <hyperlink ref="A18" location="'ADO-1'!A1" display="'ADO-1'!A1"/>
    <hyperlink ref="A19" location="'ADO-2'!A1" display="'ADO-2'!A1"/>
    <hyperlink ref="A20" location="'ADO-3'!A1" display="'ADO-3'!A1"/>
    <hyperlink ref="A21" location="'ADO-4'!A1" display="'ADO-4'!A1"/>
    <hyperlink ref="A22" location="'ADO-5'!A1" display="'ADO-5'!A1"/>
    <hyperlink ref="A23" location="'ADO-6'!A1" display="'ADO-6'!A1"/>
    <hyperlink ref="A24" location="'ADO-7'!A1" display="'ADO-7'!A1"/>
    <hyperlink ref="A25" location="'ADO-8'!A1" display="'ADO-8'!A1"/>
    <hyperlink ref="A26" location="'ADO-9'!A1" display="'ADO-9'!A1"/>
    <hyperlink ref="A27" location="'ADO-10'!A1" display="'ADO-10'!A1"/>
    <hyperlink ref="A28" location="'ADO-11'!A1" display="'ADO-11'!A1"/>
    <hyperlink ref="C18" location="'ADU-1'!A1" display="'ADU-1'!A1"/>
    <hyperlink ref="C19" location="'ADU-2'!A1" display="'ADU-2'!A1"/>
    <hyperlink ref="C22" location="'ADO-3'!A1" display="'ADO-3'!A1"/>
    <hyperlink ref="C27" location="'ADU-5'!A1" display="'ADU-5'!A1"/>
    <hyperlink ref="D20" location="'ADU-6'!A1" display="'ADU-6'!A1"/>
    <hyperlink ref="D21" location="'ADU-61'!A1" display="'ADU-61'!A1"/>
    <hyperlink ref="D23" location="'ADU-7'!A1" display="'ADU-7'!A1"/>
    <hyperlink ref="D24" location="'ADU-8'!A1" display="'ADU-8'!A1"/>
    <hyperlink ref="D25" location="'ADU-9'!A1" display="'ADU-9'!A1"/>
    <hyperlink ref="D26" location="'ADU-10'!A1" display="'ADU-10'!A1"/>
    <hyperlink ref="D32" location="'ADU-12'!A1" display="'ADU-12'!A1"/>
    <hyperlink ref="E22" location="'ADU-13'!A1" display="'ADU-13'!A1"/>
    <hyperlink ref="E24" location="'ADU-14'!A1" display="'ADU-14'!A1"/>
    <hyperlink ref="E25" location="'ADU-15'!A1" display="'ADU-15'!A1"/>
    <hyperlink ref="E27" location="'ADU-16'!A1" display="'ADU-16'!A1"/>
    <hyperlink ref="E28" location="'ADU-17'!A1" display="'ADU-17'!A1"/>
    <hyperlink ref="E29" location="'ADU-18'!A1" display="'ADU-18'!A1"/>
    <hyperlink ref="E30" location="'ADU-19'!A1" display="'ADU-19'!A1"/>
    <hyperlink ref="E31" location="'ADU-20'!A1" display="'ADU-20'!A1"/>
    <hyperlink ref="E32" location="'ADU-21'!A1" display="'ADU-21'!A1"/>
    <hyperlink ref="F18" location="'ADU-22'!A1" display="'ADU-22'!A1"/>
    <hyperlink ref="F19" location="'ADU-23'!A1" display="'ADU-23'!A1"/>
    <hyperlink ref="F20" location="'ADU-24'!A1" display="'ADU-24'!A1"/>
    <hyperlink ref="F21" location="'ADU-25'!A1" display="'ADU-25'!A1"/>
    <hyperlink ref="F22" location="'ADU-26'!A1" display="'ADU-26'!A1"/>
    <hyperlink ref="F24" location="'ADU-27'!A1" display="'ADU-27'!A1"/>
    <hyperlink ref="F25" location="'ADU-28'!A1" display="'ADU-28'!A1"/>
    <hyperlink ref="F26" location="'ADU-29'!A1" display="'ADU-29'!A1"/>
    <hyperlink ref="G18" location="'ADU-30'!A1" display="'ADU-30'!A1"/>
    <hyperlink ref="G19" location="'ADU-31'!A1" display="'ADU-31'!A1"/>
    <hyperlink ref="G21" location="'ADU-32'!A1" display="'ADU-32'!A1"/>
    <hyperlink ref="G22" location="'ADU-33'!A1" display="'ADU-33'!A1"/>
    <hyperlink ref="G26" location="'ADU-34'!A1" display="'ADU-34'!A1"/>
    <hyperlink ref="G28" location="'ADU-35'!A1" display="'ADU-35'!A1"/>
    <hyperlink ref="I18" location="'ADU-361'!A1" display="ADU-361"/>
    <hyperlink ref="I23" location="'ADU-37'!A1" display="'ADU-37'!A1"/>
    <hyperlink ref="I24" location="'ADU-38'!A1" display="'ADU-38'!A1"/>
    <hyperlink ref="I27" location="'ADU-39'!A1" display="'ADU-39'!A1"/>
    <hyperlink ref="I28" location="'ADU-40'!A1" display="ADU-40"/>
    <hyperlink ref="G4" location="CALENDRIER!A1" display="Lien vers CALENDRIER"/>
    <hyperlink ref="A29" location="'ADO-12'!A1" display="ADO-12"/>
    <hyperlink ref="A30" location="'ADO-13'!A1" display="ADO-13"/>
    <hyperlink ref="A31" location="'ADO-14'!A1" display="ADO-14"/>
    <hyperlink ref="A32" location="'ADO-15'!A1" display="ADO-15"/>
    <hyperlink ref="C20" location="'ADU-221'!A1" display="ADU-221"/>
    <hyperlink ref="C21" location="'ADU-222'!A1" display="ADU-222"/>
    <hyperlink ref="C23" location="'ADU-41'!A1" display="ADU-41"/>
    <hyperlink ref="C24" location="'ADU-42'!A1" display="ADU-42"/>
    <hyperlink ref="C25" location="'ADU-43'!A1" display="ADU-43"/>
    <hyperlink ref="D31" location="'ADU-114'!A1" display="ADU-114"/>
    <hyperlink ref="G20" location="'ADU-311'!A1" display="ADU-311"/>
    <hyperlink ref="G27" location="'ADU-341'!A1" display="ADU-341"/>
    <hyperlink ref="I19" location="'ADU-362'!A1" display="ADU-362"/>
    <hyperlink ref="I20" location="'ADU-363'!A1" display="ADU-363"/>
    <hyperlink ref="I21" location="'ADU-364'!A1" display="ADU-364"/>
    <hyperlink ref="I22" location="'ADU-365'!A1" display="ADU-365"/>
    <hyperlink ref="I25" location="'ADU-381'!A1" display="ADU-381"/>
    <hyperlink ref="C26" location="'ADU-44'!A1" display="ADU-44"/>
    <hyperlink ref="E23" location="'ADU-131'!A1" display="ADU-131"/>
    <hyperlink ref="F23" location="'ADU-261'!A1" display="ADU-261"/>
    <hyperlink ref="I26" location="'ADU-389'!A1" display="ADU-389"/>
    <hyperlink ref="B18" location="'ADO-16'!A1" display="ADO-16"/>
    <hyperlink ref="B19" location="'ADO-17'!A1" display="ADO-17"/>
    <hyperlink ref="D22" location="'ADU-62'!A1" display="ADU-62"/>
    <hyperlink ref="G23" location="'ADU-331'!A1" display="ADU-331"/>
    <hyperlink ref="G24" location="'ADU-332'!A1" display="ADU-332"/>
    <hyperlink ref="G29" location="'ADU-351'!A1" display="ADU-351"/>
    <hyperlink ref="H18" location="'ADU-361'!A1" display="ADU-361"/>
    <hyperlink ref="H19" location="'ADU-362'!A1" display="ADU-362"/>
    <hyperlink ref="H20" location="'ADU-363'!A1" display="ADU-363"/>
    <hyperlink ref="H21" location="'ADU-364'!A1" display="ADU-364"/>
    <hyperlink ref="H22" location="'ADU-365'!A1" display="ADU-365"/>
    <hyperlink ref="H24" location="'ADU-37'!A1" display="ADU-37"/>
    <hyperlink ref="H25" location="'ADU-371'!A1" display="ADU-371"/>
    <hyperlink ref="H26" location="'ADU-38'!A1" display="ADU-38"/>
    <hyperlink ref="H27" location="'ADU-381'!A1" display="ADU-381"/>
    <hyperlink ref="H28" location="'ADU-389'!A1" display="ADU-389"/>
    <hyperlink ref="H29" location="'ADU-39'!A1" display="ADU-39"/>
    <hyperlink ref="H30" location="'ADU-40'!A1" display="ADU-40"/>
    <hyperlink ref="C28" location="'ADU-51'!A1" display="ADU-51"/>
    <hyperlink ref="C29" location="'ADU-52'!A1" display="ADU-52"/>
    <hyperlink ref="C30" location="'ADU-53'!A1" display="ADU-53"/>
    <hyperlink ref="G25" location="'ADU-333'!A1" display="ADU-333"/>
  </hyperlinks>
  <pageMargins left="0.70866141732283472" right="0" top="0.35433070866141736" bottom="0.15748031496062992"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44"/>
  <sheetViews>
    <sheetView zoomScale="115" zoomScaleNormal="115" zoomScaleSheetLayoutView="90" workbookViewId="0">
      <selection activeCell="G4" sqref="G4:I4"/>
    </sheetView>
  </sheetViews>
  <sheetFormatPr baseColWidth="10" defaultRowHeight="15" x14ac:dyDescent="0.25"/>
  <cols>
    <col min="1" max="1" width="40.7109375" customWidth="1"/>
    <col min="2" max="2" width="16.7109375" style="1" customWidth="1"/>
    <col min="3" max="3" width="17.140625" style="1" customWidth="1"/>
    <col min="4" max="4" width="4.5703125" style="1" bestFit="1" customWidth="1"/>
    <col min="5" max="5" width="17.42578125" style="1" customWidth="1"/>
    <col min="6" max="6" width="1.140625" customWidth="1"/>
  </cols>
  <sheetData>
    <row r="1" spans="1:9" s="1" customFormat="1" ht="21" x14ac:dyDescent="0.35">
      <c r="A1" s="3" t="s">
        <v>87</v>
      </c>
      <c r="B1" s="3"/>
      <c r="C1" s="3"/>
      <c r="D1" s="3"/>
      <c r="E1" s="3"/>
    </row>
    <row r="2" spans="1:9" s="1" customFormat="1" ht="26.25" x14ac:dyDescent="0.4">
      <c r="A2" s="856" t="s">
        <v>913</v>
      </c>
      <c r="B2" s="856"/>
      <c r="C2" s="856"/>
      <c r="D2" s="856"/>
      <c r="E2" s="856"/>
    </row>
    <row r="3" spans="1:9" s="1" customFormat="1" ht="27" thickBot="1" x14ac:dyDescent="0.45">
      <c r="A3" s="5"/>
      <c r="B3" s="5"/>
      <c r="C3" s="5"/>
      <c r="D3" s="7"/>
      <c r="E3" s="5"/>
    </row>
    <row r="4" spans="1:9" s="1" customFormat="1" ht="15.75" thickBot="1" x14ac:dyDescent="0.3">
      <c r="A4" s="4"/>
      <c r="B4" s="233" t="s">
        <v>469</v>
      </c>
      <c r="C4" s="851" t="s">
        <v>40</v>
      </c>
      <c r="D4" s="852"/>
      <c r="E4" s="174" t="s">
        <v>183</v>
      </c>
      <c r="G4" s="848" t="s">
        <v>914</v>
      </c>
      <c r="H4" s="848"/>
      <c r="I4" s="848"/>
    </row>
    <row r="5" spans="1:9" s="1" customFormat="1" ht="18.75" customHeight="1" x14ac:dyDescent="0.25">
      <c r="A5" s="381" t="s">
        <v>651</v>
      </c>
      <c r="B5" s="382" t="s">
        <v>50</v>
      </c>
      <c r="C5" s="820" t="s">
        <v>18</v>
      </c>
      <c r="D5" s="820"/>
      <c r="E5" s="232" t="s">
        <v>19</v>
      </c>
      <c r="G5" s="848" t="s">
        <v>915</v>
      </c>
      <c r="H5" s="848"/>
      <c r="I5" s="848"/>
    </row>
    <row r="6" spans="1:9" s="1" customFormat="1" ht="16.5" thickBot="1" x14ac:dyDescent="0.3">
      <c r="A6" s="379" t="s">
        <v>660</v>
      </c>
      <c r="B6" s="380" t="s">
        <v>658</v>
      </c>
      <c r="C6" s="6"/>
      <c r="D6" s="6"/>
      <c r="E6" s="6"/>
      <c r="G6" s="850" t="s">
        <v>916</v>
      </c>
      <c r="H6" s="850"/>
      <c r="I6" s="850"/>
    </row>
    <row r="7" spans="1:9" ht="24" customHeight="1" thickBot="1" x14ac:dyDescent="0.3">
      <c r="A7" s="219" t="s">
        <v>1</v>
      </c>
      <c r="B7" s="857" t="s">
        <v>419</v>
      </c>
      <c r="C7" s="857"/>
      <c r="D7" s="857"/>
      <c r="E7" s="857"/>
    </row>
    <row r="8" spans="1:9" s="1" customFormat="1" ht="24" customHeight="1" thickBot="1" x14ac:dyDescent="0.3">
      <c r="A8" s="219" t="s">
        <v>0</v>
      </c>
      <c r="B8" s="857" t="s">
        <v>420</v>
      </c>
      <c r="C8" s="857"/>
      <c r="D8" s="857"/>
      <c r="E8" s="857"/>
    </row>
    <row r="9" spans="1:9" ht="26.25" customHeight="1" x14ac:dyDescent="0.25">
      <c r="A9" s="214" t="s">
        <v>2</v>
      </c>
      <c r="B9" s="854" t="s">
        <v>421</v>
      </c>
      <c r="C9" s="854"/>
      <c r="D9" s="854"/>
      <c r="E9" s="854"/>
    </row>
    <row r="10" spans="1:9" s="1" customFormat="1" ht="54" customHeight="1" x14ac:dyDescent="0.25">
      <c r="A10" s="214" t="s">
        <v>31</v>
      </c>
      <c r="B10" s="855"/>
      <c r="C10" s="855"/>
      <c r="D10" s="855"/>
      <c r="E10" s="855"/>
    </row>
    <row r="11" spans="1:9" ht="30" customHeight="1" x14ac:dyDescent="0.25">
      <c r="A11" s="209" t="s">
        <v>16</v>
      </c>
      <c r="B11" s="874" t="s">
        <v>86</v>
      </c>
      <c r="C11" s="874"/>
      <c r="D11" s="874"/>
      <c r="E11" s="874"/>
    </row>
    <row r="12" spans="1:9" ht="30" customHeight="1" x14ac:dyDescent="0.25">
      <c r="A12" s="209" t="s">
        <v>3</v>
      </c>
      <c r="B12" s="874"/>
      <c r="C12" s="874"/>
      <c r="D12" s="874"/>
      <c r="E12" s="874"/>
    </row>
    <row r="13" spans="1:9" s="1" customFormat="1" ht="30" customHeight="1" x14ac:dyDescent="0.25">
      <c r="A13" s="209" t="s">
        <v>17</v>
      </c>
      <c r="B13" s="874"/>
      <c r="C13" s="874"/>
      <c r="D13" s="874"/>
      <c r="E13" s="874"/>
    </row>
    <row r="14" spans="1:9" ht="30" customHeight="1" x14ac:dyDescent="0.25">
      <c r="A14" s="209" t="s">
        <v>4</v>
      </c>
      <c r="B14" s="874">
        <v>2016</v>
      </c>
      <c r="C14" s="874"/>
      <c r="D14" s="874"/>
      <c r="E14" s="874"/>
    </row>
    <row r="15" spans="1:9" ht="30" customHeight="1" x14ac:dyDescent="0.25">
      <c r="A15" s="209" t="s">
        <v>5</v>
      </c>
      <c r="B15" s="874">
        <v>2020</v>
      </c>
      <c r="C15" s="874"/>
      <c r="D15" s="874"/>
      <c r="E15" s="874"/>
    </row>
    <row r="16" spans="1:9" ht="30" customHeight="1" x14ac:dyDescent="0.25">
      <c r="A16" s="209" t="s">
        <v>6</v>
      </c>
      <c r="B16" s="845">
        <v>1000</v>
      </c>
      <c r="C16" s="845"/>
      <c r="D16" s="845"/>
      <c r="E16" s="845"/>
    </row>
    <row r="17" spans="1:9" ht="30" customHeight="1" x14ac:dyDescent="0.25">
      <c r="A17" s="209" t="s">
        <v>7</v>
      </c>
      <c r="B17" s="845">
        <v>0</v>
      </c>
      <c r="C17" s="845"/>
      <c r="D17" s="845"/>
      <c r="E17" s="845"/>
    </row>
    <row r="18" spans="1:9" ht="30" customHeight="1" x14ac:dyDescent="0.25">
      <c r="A18" s="210" t="s">
        <v>468</v>
      </c>
      <c r="B18" s="868"/>
      <c r="C18" s="869"/>
      <c r="D18" s="869"/>
      <c r="E18" s="869"/>
      <c r="G18" s="37"/>
      <c r="H18" s="37"/>
    </row>
    <row r="19" spans="1:9" s="37" customFormat="1" ht="30" customHeight="1" x14ac:dyDescent="0.25">
      <c r="A19" s="238" t="s">
        <v>467</v>
      </c>
      <c r="B19" s="875"/>
      <c r="C19" s="875"/>
      <c r="D19" s="875"/>
      <c r="E19" s="875"/>
    </row>
    <row r="20" spans="1:9" ht="30" customHeight="1" x14ac:dyDescent="0.25">
      <c r="A20" s="209" t="s">
        <v>8</v>
      </c>
      <c r="B20" s="845">
        <v>1</v>
      </c>
      <c r="C20" s="845"/>
      <c r="D20" s="845"/>
      <c r="E20" s="845"/>
      <c r="G20" s="37"/>
      <c r="H20" s="37"/>
    </row>
    <row r="21" spans="1:9" ht="30" customHeight="1" x14ac:dyDescent="0.25">
      <c r="A21" s="209" t="s">
        <v>9</v>
      </c>
      <c r="B21" s="845">
        <v>0</v>
      </c>
      <c r="C21" s="845"/>
      <c r="D21" s="845"/>
      <c r="E21" s="845"/>
      <c r="G21" s="37"/>
      <c r="H21" s="37"/>
    </row>
    <row r="22" spans="1:9" s="1" customFormat="1" ht="30" customHeight="1" x14ac:dyDescent="0.25">
      <c r="A22" s="209" t="s">
        <v>465</v>
      </c>
      <c r="B22" s="873">
        <f>B16/(B20+B21)</f>
        <v>1000</v>
      </c>
      <c r="C22" s="846"/>
      <c r="D22" s="846"/>
      <c r="E22" s="846"/>
      <c r="G22" s="37"/>
      <c r="H22" s="37"/>
    </row>
    <row r="23" spans="1:9" ht="30" customHeight="1" x14ac:dyDescent="0.25">
      <c r="A23" s="209" t="s">
        <v>466</v>
      </c>
      <c r="B23" s="847">
        <f>(B16-B17)/(B20+B21)</f>
        <v>1000</v>
      </c>
      <c r="C23" s="847"/>
      <c r="D23" s="847"/>
      <c r="E23" s="847"/>
      <c r="G23" s="37"/>
      <c r="H23" s="37"/>
    </row>
    <row r="24" spans="1:9" ht="30" customHeight="1" x14ac:dyDescent="0.25">
      <c r="A24" s="211" t="s">
        <v>476</v>
      </c>
      <c r="B24" s="872">
        <f>B18*G23/1000</f>
        <v>0</v>
      </c>
      <c r="C24" s="872"/>
      <c r="D24" s="872"/>
      <c r="E24" s="872"/>
      <c r="G24" s="37"/>
      <c r="H24" s="37"/>
    </row>
    <row r="25" spans="1:9" ht="30" customHeight="1" x14ac:dyDescent="0.25">
      <c r="A25" s="212" t="s">
        <v>463</v>
      </c>
      <c r="B25" s="840">
        <f>B24/'Objectifs CO2'!C15</f>
        <v>0</v>
      </c>
      <c r="C25" s="840"/>
      <c r="D25" s="840"/>
      <c r="E25" s="840"/>
    </row>
    <row r="26" spans="1:9" ht="30" customHeight="1" x14ac:dyDescent="0.25">
      <c r="A26" s="213" t="s">
        <v>464</v>
      </c>
      <c r="B26" s="840">
        <f>B24/'Objectifs CO2'!C8</f>
        <v>0</v>
      </c>
      <c r="C26" s="840"/>
      <c r="D26" s="840"/>
      <c r="E26" s="840"/>
    </row>
    <row r="27" spans="1:9" ht="30" customHeight="1" x14ac:dyDescent="0.25">
      <c r="A27" s="213" t="s">
        <v>24</v>
      </c>
      <c r="B27" s="853"/>
      <c r="C27" s="853"/>
      <c r="D27" s="853"/>
      <c r="E27" s="853"/>
    </row>
    <row r="28" spans="1:9" ht="30" customHeight="1" x14ac:dyDescent="0.25">
      <c r="A28" s="213" t="s">
        <v>418</v>
      </c>
      <c r="B28" s="853" t="s">
        <v>423</v>
      </c>
      <c r="C28" s="853"/>
      <c r="D28" s="853"/>
      <c r="E28" s="853"/>
    </row>
    <row r="30" spans="1:9" x14ac:dyDescent="0.25">
      <c r="B30" s="867" t="s">
        <v>530</v>
      </c>
      <c r="C30" s="867"/>
      <c r="D30" s="867"/>
      <c r="E30" s="143" t="s">
        <v>538</v>
      </c>
      <c r="F30" s="37"/>
      <c r="G30" s="37"/>
      <c r="H30" s="37"/>
      <c r="I30" s="37"/>
    </row>
    <row r="31" spans="1:9" x14ac:dyDescent="0.25">
      <c r="B31" s="864" t="s">
        <v>521</v>
      </c>
      <c r="C31" s="864"/>
      <c r="D31" s="864"/>
      <c r="E31" s="114"/>
      <c r="F31" s="37"/>
      <c r="G31" s="866" t="s">
        <v>538</v>
      </c>
      <c r="H31" s="866"/>
      <c r="I31" s="866"/>
    </row>
    <row r="32" spans="1:9" x14ac:dyDescent="0.25">
      <c r="B32" s="864" t="s">
        <v>522</v>
      </c>
      <c r="C32" s="864"/>
      <c r="D32" s="864"/>
      <c r="E32" s="114"/>
      <c r="F32" s="37"/>
      <c r="G32" s="252">
        <v>3</v>
      </c>
      <c r="H32" s="866" t="s">
        <v>535</v>
      </c>
      <c r="I32" s="866"/>
    </row>
    <row r="33" spans="2:9" x14ac:dyDescent="0.25">
      <c r="B33" s="864" t="s">
        <v>524</v>
      </c>
      <c r="C33" s="864"/>
      <c r="D33" s="864"/>
      <c r="E33" s="114"/>
      <c r="F33" s="37"/>
      <c r="G33" s="252">
        <v>2</v>
      </c>
      <c r="H33" s="866" t="s">
        <v>536</v>
      </c>
      <c r="I33" s="866"/>
    </row>
    <row r="34" spans="2:9" x14ac:dyDescent="0.25">
      <c r="B34" s="864" t="s">
        <v>523</v>
      </c>
      <c r="C34" s="864"/>
      <c r="D34" s="864"/>
      <c r="E34" s="114"/>
      <c r="F34" s="37"/>
      <c r="G34" s="252">
        <v>1</v>
      </c>
      <c r="H34" s="866" t="s">
        <v>537</v>
      </c>
      <c r="I34" s="866"/>
    </row>
    <row r="35" spans="2:9" x14ac:dyDescent="0.25">
      <c r="B35" s="864" t="s">
        <v>525</v>
      </c>
      <c r="C35" s="864"/>
      <c r="D35" s="864"/>
      <c r="E35" s="114"/>
      <c r="F35" s="37"/>
      <c r="G35" s="37"/>
      <c r="H35" s="37"/>
      <c r="I35" s="37"/>
    </row>
    <row r="36" spans="2:9" x14ac:dyDescent="0.25">
      <c r="B36" s="864" t="s">
        <v>526</v>
      </c>
      <c r="C36" s="864"/>
      <c r="D36" s="864"/>
      <c r="E36" s="114"/>
      <c r="F36" s="37"/>
      <c r="G36" s="37"/>
      <c r="H36" s="37"/>
      <c r="I36" s="37"/>
    </row>
    <row r="37" spans="2:9" x14ac:dyDescent="0.25">
      <c r="B37" s="864" t="s">
        <v>527</v>
      </c>
      <c r="C37" s="864"/>
      <c r="D37" s="864"/>
      <c r="E37" s="114"/>
      <c r="F37" s="37"/>
      <c r="G37" s="37"/>
      <c r="H37" s="37"/>
      <c r="I37" s="37"/>
    </row>
    <row r="38" spans="2:9" x14ac:dyDescent="0.25">
      <c r="B38" s="864" t="s">
        <v>528</v>
      </c>
      <c r="C38" s="864"/>
      <c r="D38" s="864"/>
      <c r="E38" s="114"/>
      <c r="F38" s="37"/>
      <c r="G38" s="37"/>
      <c r="H38" s="37"/>
      <c r="I38" s="37"/>
    </row>
    <row r="39" spans="2:9" x14ac:dyDescent="0.25">
      <c r="B39" s="864" t="s">
        <v>529</v>
      </c>
      <c r="C39" s="864"/>
      <c r="D39" s="864"/>
      <c r="E39" s="114"/>
      <c r="F39" s="37"/>
      <c r="G39" s="863" t="s">
        <v>541</v>
      </c>
      <c r="H39" s="863"/>
      <c r="I39" s="863"/>
    </row>
    <row r="40" spans="2:9" x14ac:dyDescent="0.25">
      <c r="B40" s="865" t="s">
        <v>395</v>
      </c>
      <c r="C40" s="865"/>
      <c r="D40" s="865"/>
      <c r="E40" s="258">
        <f>SUM(E31:E39)</f>
        <v>0</v>
      </c>
      <c r="F40" s="37"/>
      <c r="G40" s="254" t="s">
        <v>542</v>
      </c>
      <c r="H40" s="257" t="s">
        <v>543</v>
      </c>
      <c r="I40" s="254" t="s">
        <v>544</v>
      </c>
    </row>
    <row r="41" spans="2:9" x14ac:dyDescent="0.25">
      <c r="B41" s="37"/>
      <c r="C41" s="37"/>
      <c r="D41" s="37"/>
      <c r="E41" s="202" t="s">
        <v>576</v>
      </c>
      <c r="F41" s="37"/>
      <c r="G41" s="254" t="s">
        <v>545</v>
      </c>
      <c r="H41" s="254" t="s">
        <v>547</v>
      </c>
      <c r="I41" s="254" t="s">
        <v>546</v>
      </c>
    </row>
    <row r="42" spans="2:9" x14ac:dyDescent="0.25">
      <c r="B42" s="37"/>
      <c r="C42" s="37"/>
      <c r="D42" s="37"/>
      <c r="E42" s="37"/>
      <c r="F42" s="37"/>
      <c r="G42" s="37"/>
      <c r="H42" s="37"/>
      <c r="I42" s="37"/>
    </row>
    <row r="43" spans="2:9" x14ac:dyDescent="0.25">
      <c r="B43" s="860" t="s">
        <v>520</v>
      </c>
      <c r="C43" s="861"/>
      <c r="D43" s="862"/>
      <c r="E43" s="251">
        <v>1</v>
      </c>
      <c r="F43" s="37"/>
      <c r="G43" s="254">
        <v>1</v>
      </c>
      <c r="H43" s="254" t="s">
        <v>539</v>
      </c>
      <c r="I43" s="37"/>
    </row>
    <row r="44" spans="2:9" x14ac:dyDescent="0.25">
      <c r="B44" s="37"/>
      <c r="C44" s="37"/>
      <c r="D44" s="37"/>
      <c r="E44" s="37"/>
      <c r="F44" s="37"/>
      <c r="G44" s="254">
        <v>0</v>
      </c>
      <c r="H44" s="254" t="s">
        <v>540</v>
      </c>
      <c r="I44" s="37"/>
    </row>
  </sheetData>
  <mergeCells count="45">
    <mergeCell ref="G6:I6"/>
    <mergeCell ref="B13:E13"/>
    <mergeCell ref="B21:E21"/>
    <mergeCell ref="B23:E23"/>
    <mergeCell ref="B24:E24"/>
    <mergeCell ref="A2:E2"/>
    <mergeCell ref="B7:E7"/>
    <mergeCell ref="B9:E9"/>
    <mergeCell ref="B11:E11"/>
    <mergeCell ref="B12:E12"/>
    <mergeCell ref="B10:E10"/>
    <mergeCell ref="C5:D5"/>
    <mergeCell ref="C4:D4"/>
    <mergeCell ref="G31:I31"/>
    <mergeCell ref="B32:D32"/>
    <mergeCell ref="H32:I32"/>
    <mergeCell ref="B8:E8"/>
    <mergeCell ref="B22:E22"/>
    <mergeCell ref="B25:E25"/>
    <mergeCell ref="B14:E14"/>
    <mergeCell ref="B15:E15"/>
    <mergeCell ref="B16:E16"/>
    <mergeCell ref="B17:E17"/>
    <mergeCell ref="B18:E18"/>
    <mergeCell ref="B28:E28"/>
    <mergeCell ref="B20:E20"/>
    <mergeCell ref="B19:E19"/>
    <mergeCell ref="B27:E27"/>
    <mergeCell ref="B26:E26"/>
    <mergeCell ref="B43:D43"/>
    <mergeCell ref="G4:I4"/>
    <mergeCell ref="G5:I5"/>
    <mergeCell ref="G39:I39"/>
    <mergeCell ref="B36:D36"/>
    <mergeCell ref="B37:D37"/>
    <mergeCell ref="B38:D38"/>
    <mergeCell ref="B39:D39"/>
    <mergeCell ref="B40:D40"/>
    <mergeCell ref="B33:D33"/>
    <mergeCell ref="H33:I33"/>
    <mergeCell ref="B34:D34"/>
    <mergeCell ref="H34:I34"/>
    <mergeCell ref="B35:D35"/>
    <mergeCell ref="B30:D30"/>
    <mergeCell ref="B31:D31"/>
  </mergeCells>
  <conditionalFormatting sqref="E5">
    <cfRule type="containsText" dxfId="254" priority="1" operator="containsText" text="Terminé">
      <formula>NOT(ISERROR(SEARCH("Terminé",E5)))</formula>
    </cfRule>
    <cfRule type="containsText" dxfId="253" priority="2" operator="containsText" text="En cours">
      <formula>NOT(ISERROR(SEARCH("En cours",E5)))</formula>
    </cfRule>
    <cfRule type="containsText" dxfId="252"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pageSetup paperSize="9" scale="9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93"/>
  <sheetViews>
    <sheetView workbookViewId="0">
      <selection activeCell="H17" sqref="H17"/>
    </sheetView>
  </sheetViews>
  <sheetFormatPr baseColWidth="10" defaultRowHeight="15" x14ac:dyDescent="0.25"/>
  <cols>
    <col min="1" max="1" width="11.42578125" style="37"/>
    <col min="2" max="2" width="10.7109375" style="37" customWidth="1"/>
    <col min="3" max="14" width="11.42578125" style="375"/>
    <col min="15" max="16384" width="11.42578125" style="37"/>
  </cols>
  <sheetData>
    <row r="1" spans="1:26" x14ac:dyDescent="0.25">
      <c r="B1" s="37" t="s">
        <v>83</v>
      </c>
    </row>
    <row r="2" spans="1:26" x14ac:dyDescent="0.25">
      <c r="B2" s="37" t="s">
        <v>385</v>
      </c>
      <c r="C2" s="37"/>
      <c r="D2" s="37"/>
      <c r="E2" s="37"/>
      <c r="F2" s="37"/>
      <c r="G2" s="37"/>
      <c r="H2" s="37"/>
      <c r="I2" s="37"/>
      <c r="J2" s="37"/>
      <c r="K2" s="37"/>
      <c r="L2" s="37"/>
      <c r="M2" s="37"/>
    </row>
    <row r="3" spans="1:26" ht="18" customHeight="1" x14ac:dyDescent="0.3">
      <c r="B3" s="964" t="s">
        <v>386</v>
      </c>
      <c r="C3" s="964"/>
      <c r="D3" s="964"/>
      <c r="E3" s="964"/>
      <c r="F3" s="964" t="s">
        <v>387</v>
      </c>
      <c r="G3" s="964"/>
      <c r="H3" s="964"/>
      <c r="I3" s="964"/>
      <c r="J3" s="964" t="s">
        <v>388</v>
      </c>
      <c r="K3" s="964"/>
      <c r="L3" s="37"/>
      <c r="M3" s="37"/>
      <c r="N3" s="167"/>
    </row>
    <row r="4" spans="1:26" ht="28.5" customHeight="1" x14ac:dyDescent="0.25">
      <c r="B4" s="143" t="s">
        <v>389</v>
      </c>
      <c r="C4" s="143" t="s">
        <v>390</v>
      </c>
      <c r="D4" s="143" t="s">
        <v>391</v>
      </c>
      <c r="E4" s="143" t="s">
        <v>392</v>
      </c>
      <c r="F4" s="143" t="s">
        <v>393</v>
      </c>
      <c r="G4" s="143" t="s">
        <v>394</v>
      </c>
      <c r="H4" s="143" t="s">
        <v>380</v>
      </c>
      <c r="I4" s="143" t="s">
        <v>381</v>
      </c>
      <c r="J4" s="378" t="s">
        <v>382</v>
      </c>
      <c r="K4" s="378" t="s">
        <v>383</v>
      </c>
      <c r="L4" s="143" t="s">
        <v>395</v>
      </c>
      <c r="M4" s="158" t="s">
        <v>66</v>
      </c>
      <c r="N4" s="154"/>
      <c r="O4" s="2"/>
      <c r="P4" s="2"/>
      <c r="Q4" s="2"/>
      <c r="R4" s="2"/>
      <c r="S4" s="2"/>
      <c r="T4" s="2"/>
      <c r="U4" s="2"/>
      <c r="V4" s="2"/>
      <c r="W4" s="2"/>
      <c r="X4" s="2"/>
      <c r="Y4" s="2"/>
      <c r="Z4" s="2"/>
    </row>
    <row r="5" spans="1:26" x14ac:dyDescent="0.25">
      <c r="A5" s="143" t="s">
        <v>155</v>
      </c>
      <c r="B5" s="159">
        <f>[4]TOIT!L196</f>
        <v>1821990.8622461539</v>
      </c>
      <c r="C5" s="159">
        <f>[4]MUR!L96</f>
        <v>701747.81837999949</v>
      </c>
      <c r="D5" s="159">
        <f>[4]SOL!L70</f>
        <v>235293.22319999995</v>
      </c>
      <c r="E5" s="159">
        <f>[4]FEN!L13</f>
        <v>129256.848</v>
      </c>
      <c r="F5" s="159">
        <f>[4]CHAUD!C64</f>
        <v>160650</v>
      </c>
      <c r="G5" s="154"/>
      <c r="H5" s="159">
        <f>[4]CHAUD!G64</f>
        <v>137622.8805</v>
      </c>
      <c r="I5" s="154"/>
      <c r="J5" s="154"/>
      <c r="K5" s="154"/>
      <c r="L5" s="159">
        <f>SUM(B5:K5)</f>
        <v>3186561.6323261531</v>
      </c>
      <c r="M5" s="171">
        <f>L5*M6/1000</f>
        <v>831.69258603712603</v>
      </c>
      <c r="N5" s="158"/>
      <c r="O5" s="2"/>
      <c r="P5" s="2"/>
      <c r="Q5" s="2"/>
      <c r="R5" s="2"/>
      <c r="S5" s="2"/>
      <c r="T5" s="2"/>
      <c r="U5" s="2"/>
      <c r="V5" s="2"/>
      <c r="W5" s="2"/>
      <c r="X5" s="2"/>
      <c r="Y5" s="2"/>
    </row>
    <row r="6" spans="1:26" x14ac:dyDescent="0.25">
      <c r="A6" s="143" t="s">
        <v>396</v>
      </c>
      <c r="B6" s="159">
        <f t="shared" ref="B6:K6" si="0">B5/10</f>
        <v>182199.0862246154</v>
      </c>
      <c r="C6" s="159">
        <f t="shared" si="0"/>
        <v>70174.781837999952</v>
      </c>
      <c r="D6" s="159">
        <f t="shared" si="0"/>
        <v>23529.322319999996</v>
      </c>
      <c r="E6" s="159">
        <f t="shared" si="0"/>
        <v>12925.684799999999</v>
      </c>
      <c r="F6" s="159">
        <f t="shared" si="0"/>
        <v>16065</v>
      </c>
      <c r="G6" s="159">
        <f t="shared" si="0"/>
        <v>0</v>
      </c>
      <c r="H6" s="159">
        <f t="shared" si="0"/>
        <v>13762.288049999999</v>
      </c>
      <c r="I6" s="159">
        <f t="shared" si="0"/>
        <v>0</v>
      </c>
      <c r="J6" s="159">
        <f t="shared" si="0"/>
        <v>0</v>
      </c>
      <c r="K6" s="159">
        <f t="shared" si="0"/>
        <v>0</v>
      </c>
      <c r="L6" s="159">
        <f>SUM(B6:K6)</f>
        <v>318656.16323261528</v>
      </c>
      <c r="M6" s="154">
        <v>0.26100000000000001</v>
      </c>
      <c r="N6" s="143"/>
      <c r="O6" s="2"/>
      <c r="P6" s="2"/>
      <c r="Q6" s="169">
        <v>210</v>
      </c>
      <c r="R6" s="2">
        <v>8</v>
      </c>
      <c r="S6" s="2">
        <v>0.6</v>
      </c>
      <c r="T6" s="108">
        <v>0.5</v>
      </c>
      <c r="U6" s="2"/>
      <c r="V6" s="2"/>
      <c r="W6" s="2"/>
      <c r="X6" s="2"/>
      <c r="Y6" s="2"/>
    </row>
    <row r="7" spans="1:26" x14ac:dyDescent="0.25">
      <c r="A7" s="154" t="s">
        <v>397</v>
      </c>
      <c r="B7" s="159">
        <f>[4]TOIT!C196</f>
        <v>346562.68888888886</v>
      </c>
      <c r="C7" s="159">
        <f>[4]MUR!C96</f>
        <v>592947.62222222204</v>
      </c>
      <c r="D7" s="159">
        <f>[4]SOL!C70</f>
        <v>169084.22222222222</v>
      </c>
      <c r="E7" s="159">
        <f>[4]FEN!C13</f>
        <v>443584.59</v>
      </c>
      <c r="F7" s="154">
        <f>SUM([4]CHAUD!L7:L12)</f>
        <v>60000</v>
      </c>
      <c r="G7" s="154"/>
      <c r="H7" s="154">
        <f>SUM([4]CHAUD!L14:L40)</f>
        <v>155500</v>
      </c>
      <c r="I7" s="154"/>
      <c r="J7" s="154"/>
      <c r="K7" s="154"/>
      <c r="L7" s="159">
        <f>SUM(B7:K7)</f>
        <v>1767679.1233333333</v>
      </c>
      <c r="M7" s="37"/>
      <c r="N7" s="143"/>
      <c r="O7" s="2"/>
      <c r="P7" s="2"/>
      <c r="S7" s="2"/>
      <c r="T7" s="2"/>
      <c r="U7" s="2"/>
      <c r="V7" s="2"/>
      <c r="W7" s="2"/>
      <c r="X7" s="2"/>
      <c r="Y7" s="2"/>
    </row>
    <row r="8" spans="1:26" x14ac:dyDescent="0.25">
      <c r="A8" s="154" t="s">
        <v>398</v>
      </c>
      <c r="B8" s="159">
        <f>[4]TOIT!D196</f>
        <v>155953.20999999996</v>
      </c>
      <c r="C8" s="159">
        <f>[4]MUR!D96</f>
        <v>266826.43</v>
      </c>
      <c r="D8" s="159">
        <f>[4]SOL!D70</f>
        <v>76087.900000000009</v>
      </c>
      <c r="E8" s="159">
        <f>[4]FEN!D13</f>
        <v>39481.65</v>
      </c>
      <c r="F8" s="154">
        <f>SUM([4]CHAUD!M7:M12)</f>
        <v>10500</v>
      </c>
      <c r="G8" s="154"/>
      <c r="H8" s="154">
        <f>SUM([4]CHAUD!M14:M40)</f>
        <v>30750</v>
      </c>
      <c r="I8" s="154"/>
      <c r="J8" s="154"/>
      <c r="K8" s="154"/>
      <c r="L8" s="159">
        <f>SUM(B8:K8)</f>
        <v>579599.18999999994</v>
      </c>
      <c r="M8" s="37"/>
      <c r="N8" s="143"/>
      <c r="O8" s="2"/>
      <c r="P8" s="2"/>
      <c r="Q8" s="2"/>
      <c r="R8" s="2"/>
      <c r="S8" s="2"/>
      <c r="T8" s="2"/>
      <c r="U8" s="2"/>
      <c r="V8" s="2"/>
      <c r="W8" s="2"/>
      <c r="X8" s="2"/>
      <c r="Y8" s="2"/>
    </row>
    <row r="9" spans="1:26" x14ac:dyDescent="0.25">
      <c r="A9" s="154"/>
      <c r="B9" s="159"/>
      <c r="C9" s="159"/>
      <c r="D9" s="159"/>
      <c r="E9" s="159"/>
      <c r="F9" s="154"/>
      <c r="G9" s="154"/>
      <c r="H9" s="154"/>
      <c r="I9" s="154"/>
      <c r="J9" s="154"/>
      <c r="K9" s="154"/>
      <c r="L9" s="159"/>
      <c r="M9" s="37"/>
      <c r="N9" s="143"/>
      <c r="O9" s="2"/>
      <c r="P9" s="2"/>
      <c r="Q9" s="2"/>
      <c r="R9" s="2"/>
      <c r="S9" s="2"/>
      <c r="T9" s="2"/>
      <c r="U9" s="2"/>
      <c r="V9" s="2"/>
      <c r="W9" s="2"/>
      <c r="X9" s="2"/>
      <c r="Y9" s="2"/>
    </row>
    <row r="10" spans="1:26" x14ac:dyDescent="0.25">
      <c r="C10" s="37"/>
      <c r="D10" s="37"/>
      <c r="E10" s="37"/>
      <c r="F10" s="37"/>
      <c r="G10" s="37"/>
      <c r="H10" s="37"/>
      <c r="I10" s="37"/>
      <c r="J10" s="37"/>
      <c r="K10" s="37"/>
      <c r="L10" s="37"/>
      <c r="M10" s="37"/>
      <c r="N10" s="143"/>
      <c r="O10" s="2"/>
      <c r="P10" s="2"/>
      <c r="Q10" s="2"/>
      <c r="R10" s="2"/>
      <c r="S10" s="2"/>
      <c r="T10" s="2"/>
      <c r="U10" s="2"/>
      <c r="V10" s="2"/>
      <c r="W10" s="2"/>
      <c r="X10" s="2"/>
      <c r="Y10" s="2"/>
    </row>
    <row r="11" spans="1:26" x14ac:dyDescent="0.25">
      <c r="C11" s="37"/>
      <c r="D11" s="37"/>
      <c r="E11" s="37"/>
      <c r="F11" s="37"/>
      <c r="G11" s="37"/>
      <c r="H11" s="37"/>
      <c r="I11" s="37"/>
      <c r="J11" s="37"/>
      <c r="K11" s="37"/>
      <c r="L11" s="37"/>
      <c r="M11" s="37"/>
      <c r="N11" s="143"/>
      <c r="O11" s="2"/>
      <c r="P11" s="2"/>
      <c r="Q11" s="2"/>
      <c r="R11" s="2"/>
      <c r="S11" s="2"/>
      <c r="T11" s="2"/>
      <c r="U11" s="2"/>
      <c r="V11" s="2"/>
      <c r="W11" s="2"/>
      <c r="X11" s="2"/>
      <c r="Y11" s="2"/>
    </row>
    <row r="12" spans="1:26" x14ac:dyDescent="0.25">
      <c r="B12" s="37" t="s">
        <v>399</v>
      </c>
      <c r="C12" s="37"/>
      <c r="D12" s="120">
        <f>L5</f>
        <v>3186561.6323261531</v>
      </c>
      <c r="E12" s="37" t="s">
        <v>76</v>
      </c>
      <c r="F12" s="37"/>
      <c r="G12" s="37" t="s">
        <v>400</v>
      </c>
      <c r="H12" s="37"/>
      <c r="I12" s="37"/>
      <c r="J12" s="37"/>
      <c r="K12" s="37"/>
      <c r="L12" s="37"/>
      <c r="M12" s="37"/>
      <c r="N12" s="143"/>
      <c r="O12" s="2"/>
      <c r="P12" s="2"/>
      <c r="Q12" s="2"/>
      <c r="R12" s="2"/>
      <c r="S12" s="2"/>
      <c r="T12" s="2"/>
      <c r="U12" s="2"/>
      <c r="V12" s="2"/>
      <c r="W12" s="2"/>
      <c r="X12" s="2"/>
      <c r="Y12" s="2"/>
    </row>
    <row r="13" spans="1:26" x14ac:dyDescent="0.25">
      <c r="C13" s="37"/>
      <c r="D13" s="120">
        <f>L6</f>
        <v>318656.16323261528</v>
      </c>
      <c r="E13" s="37" t="s">
        <v>396</v>
      </c>
      <c r="F13" s="37"/>
      <c r="G13" s="37"/>
      <c r="H13" s="37"/>
      <c r="I13" s="37"/>
      <c r="J13" s="37"/>
      <c r="K13" s="37"/>
      <c r="L13" s="37"/>
      <c r="M13" s="37"/>
      <c r="N13" s="143"/>
      <c r="O13" s="2"/>
      <c r="P13" s="2"/>
      <c r="Q13" s="2"/>
      <c r="R13" s="2"/>
      <c r="S13" s="2"/>
      <c r="T13" s="2"/>
      <c r="U13" s="2"/>
      <c r="V13" s="2"/>
      <c r="W13" s="2"/>
      <c r="X13" s="2"/>
      <c r="Y13" s="2"/>
    </row>
    <row r="14" spans="1:26" x14ac:dyDescent="0.25">
      <c r="C14" s="37"/>
      <c r="D14" s="172">
        <v>12.032708358032009</v>
      </c>
      <c r="E14" s="37" t="s">
        <v>76</v>
      </c>
      <c r="F14" s="37"/>
      <c r="G14" s="37"/>
      <c r="H14" s="37"/>
      <c r="I14" s="37"/>
      <c r="J14" s="37"/>
      <c r="K14" s="37"/>
      <c r="L14" s="37"/>
      <c r="M14" s="37"/>
      <c r="N14" s="143"/>
      <c r="O14" s="2"/>
      <c r="P14" s="2"/>
      <c r="Q14" s="2"/>
      <c r="R14" s="2"/>
      <c r="S14" s="2"/>
      <c r="T14" s="2"/>
      <c r="U14" s="2"/>
      <c r="V14" s="2"/>
      <c r="W14" s="2"/>
      <c r="X14" s="2"/>
      <c r="Y14" s="2"/>
    </row>
    <row r="15" spans="1:26" x14ac:dyDescent="0.25">
      <c r="C15" s="37"/>
      <c r="D15" s="172">
        <v>1203.270835803201</v>
      </c>
      <c r="F15" s="37"/>
      <c r="G15" s="37"/>
      <c r="H15" s="37"/>
      <c r="I15" s="37"/>
      <c r="J15" s="37"/>
      <c r="K15" s="37"/>
      <c r="L15" s="37"/>
      <c r="M15" s="37"/>
      <c r="N15" s="143"/>
      <c r="O15" s="2"/>
      <c r="P15" s="2"/>
      <c r="Q15" s="2"/>
      <c r="R15" s="2"/>
      <c r="S15" s="2"/>
      <c r="T15" s="2"/>
      <c r="U15" s="2"/>
      <c r="V15" s="2"/>
      <c r="W15" s="2"/>
      <c r="X15" s="2"/>
      <c r="Y15" s="2"/>
    </row>
    <row r="16" spans="1:26" x14ac:dyDescent="0.25">
      <c r="B16" s="37" t="s">
        <v>401</v>
      </c>
      <c r="C16" s="37"/>
      <c r="D16" s="173">
        <v>4.5294657857079618E-2</v>
      </c>
      <c r="E16" s="37"/>
      <c r="F16" s="37"/>
      <c r="G16" s="37"/>
      <c r="H16" s="37"/>
      <c r="I16" s="37"/>
      <c r="J16" s="37"/>
      <c r="K16" s="37"/>
      <c r="L16" s="37"/>
      <c r="M16" s="37"/>
      <c r="N16" s="143"/>
      <c r="O16" s="2"/>
      <c r="P16" s="2"/>
      <c r="Q16" s="2"/>
      <c r="R16" s="2"/>
      <c r="S16" s="2"/>
      <c r="T16" s="2"/>
      <c r="U16" s="2"/>
      <c r="V16" s="2"/>
      <c r="W16" s="2"/>
      <c r="X16" s="2"/>
      <c r="Y16" s="2"/>
    </row>
    <row r="17" spans="2:14" x14ac:dyDescent="0.25">
      <c r="B17" s="37" t="s">
        <v>402</v>
      </c>
      <c r="C17" s="37"/>
      <c r="D17" s="37"/>
      <c r="E17" s="37"/>
      <c r="F17" s="37"/>
      <c r="G17" s="37"/>
      <c r="H17" s="37"/>
      <c r="I17" s="37"/>
      <c r="J17" s="37"/>
      <c r="K17" s="37"/>
      <c r="L17" s="37"/>
      <c r="M17" s="37"/>
      <c r="N17" s="37"/>
    </row>
    <row r="18" spans="2:14" x14ac:dyDescent="0.25">
      <c r="C18" s="37"/>
      <c r="D18" s="37"/>
      <c r="E18" s="37"/>
      <c r="F18" s="37"/>
      <c r="G18" s="37"/>
      <c r="H18" s="37"/>
      <c r="I18" s="37"/>
      <c r="J18" s="37"/>
      <c r="K18" s="37"/>
      <c r="L18" s="37"/>
      <c r="M18" s="37"/>
      <c r="N18" s="37"/>
    </row>
    <row r="19" spans="2:14" x14ac:dyDescent="0.25">
      <c r="C19" s="37"/>
      <c r="D19" s="37"/>
      <c r="E19" s="37"/>
      <c r="F19" s="37"/>
      <c r="G19" s="37"/>
      <c r="H19" s="37"/>
      <c r="I19" s="37"/>
      <c r="J19" s="37"/>
      <c r="K19" s="37"/>
      <c r="L19" s="37"/>
      <c r="M19" s="37"/>
      <c r="N19" s="37"/>
    </row>
    <row r="20" spans="2:14" x14ac:dyDescent="0.25">
      <c r="C20" s="37"/>
      <c r="D20" s="37"/>
      <c r="E20" s="37"/>
      <c r="F20" s="37"/>
      <c r="G20" s="37"/>
      <c r="H20" s="37"/>
      <c r="I20" s="37"/>
      <c r="J20" s="37"/>
      <c r="K20" s="37"/>
      <c r="L20" s="37"/>
      <c r="M20" s="37"/>
      <c r="N20" s="37"/>
    </row>
    <row r="21" spans="2:14" x14ac:dyDescent="0.25">
      <c r="C21" s="37"/>
      <c r="D21" s="37"/>
      <c r="E21" s="37"/>
      <c r="F21" s="37"/>
      <c r="G21" s="37"/>
      <c r="H21" s="37"/>
      <c r="I21" s="37"/>
      <c r="J21" s="37"/>
      <c r="K21" s="37"/>
      <c r="L21" s="37"/>
      <c r="M21" s="37"/>
      <c r="N21" s="37"/>
    </row>
    <row r="22" spans="2:14" x14ac:dyDescent="0.25">
      <c r="C22" s="37"/>
      <c r="D22" s="37"/>
      <c r="E22" s="37"/>
      <c r="F22" s="37"/>
      <c r="G22" s="37"/>
      <c r="H22" s="37"/>
      <c r="I22" s="37"/>
      <c r="J22" s="37"/>
      <c r="K22" s="37"/>
      <c r="L22" s="37"/>
      <c r="M22" s="37"/>
      <c r="N22" s="37"/>
    </row>
    <row r="23" spans="2:14" x14ac:dyDescent="0.25">
      <c r="C23" s="37"/>
      <c r="D23" s="37"/>
      <c r="E23" s="37"/>
      <c r="F23" s="37"/>
      <c r="G23" s="37"/>
      <c r="H23" s="37"/>
      <c r="I23" s="37"/>
      <c r="J23" s="37"/>
      <c r="K23" s="37"/>
      <c r="L23" s="37"/>
      <c r="M23" s="37"/>
      <c r="N23" s="37"/>
    </row>
    <row r="24" spans="2:14" x14ac:dyDescent="0.25">
      <c r="C24" s="37"/>
      <c r="D24" s="37"/>
      <c r="E24" s="37"/>
      <c r="F24" s="37"/>
      <c r="G24" s="37"/>
      <c r="H24" s="37"/>
      <c r="I24" s="37"/>
      <c r="J24" s="37"/>
      <c r="K24" s="37"/>
      <c r="L24" s="37"/>
      <c r="M24" s="37"/>
      <c r="N24" s="37"/>
    </row>
    <row r="25" spans="2:14" x14ac:dyDescent="0.25">
      <c r="C25" s="37"/>
      <c r="D25" s="37"/>
      <c r="E25" s="37"/>
      <c r="F25" s="37"/>
      <c r="G25" s="37"/>
      <c r="H25" s="37"/>
      <c r="I25" s="37"/>
      <c r="J25" s="37"/>
      <c r="K25" s="37"/>
      <c r="L25" s="37"/>
      <c r="M25" s="37"/>
      <c r="N25" s="37"/>
    </row>
    <row r="26" spans="2:14" x14ac:dyDescent="0.25">
      <c r="C26" s="37"/>
      <c r="D26" s="37"/>
      <c r="E26" s="37"/>
      <c r="F26" s="37"/>
      <c r="G26" s="37"/>
      <c r="H26" s="37"/>
      <c r="I26" s="37"/>
      <c r="J26" s="37"/>
      <c r="K26" s="37"/>
      <c r="L26" s="37"/>
      <c r="M26" s="37"/>
      <c r="N26" s="37"/>
    </row>
    <row r="27" spans="2:14" x14ac:dyDescent="0.25">
      <c r="C27" s="37"/>
      <c r="D27" s="37"/>
      <c r="E27" s="37"/>
      <c r="F27" s="37"/>
      <c r="G27" s="37"/>
      <c r="H27" s="37"/>
      <c r="I27" s="37"/>
      <c r="J27" s="37"/>
      <c r="K27" s="37"/>
      <c r="L27" s="37"/>
      <c r="M27" s="37"/>
      <c r="N27" s="37"/>
    </row>
    <row r="28" spans="2:14" x14ac:dyDescent="0.25">
      <c r="C28" s="37"/>
      <c r="D28" s="37"/>
      <c r="E28" s="37"/>
      <c r="F28" s="37"/>
      <c r="G28" s="37"/>
      <c r="H28" s="37"/>
      <c r="I28" s="37"/>
      <c r="J28" s="37"/>
      <c r="K28" s="37"/>
      <c r="L28" s="37"/>
      <c r="M28" s="37"/>
      <c r="N28" s="37"/>
    </row>
    <row r="29" spans="2:14" x14ac:dyDescent="0.25">
      <c r="C29" s="37"/>
      <c r="D29" s="37"/>
      <c r="E29" s="37"/>
      <c r="F29" s="37"/>
      <c r="G29" s="37"/>
      <c r="H29" s="37"/>
      <c r="I29" s="37"/>
      <c r="J29" s="37"/>
      <c r="K29" s="37"/>
      <c r="L29" s="37"/>
      <c r="M29" s="37"/>
      <c r="N29" s="37"/>
    </row>
    <row r="30" spans="2:14" x14ac:dyDescent="0.25">
      <c r="C30" s="37"/>
      <c r="D30" s="37"/>
      <c r="E30" s="37"/>
      <c r="F30" s="37"/>
      <c r="G30" s="37"/>
      <c r="H30" s="37"/>
      <c r="I30" s="37"/>
      <c r="J30" s="37"/>
      <c r="K30" s="37"/>
      <c r="L30" s="37"/>
      <c r="M30" s="37"/>
      <c r="N30" s="37"/>
    </row>
    <row r="31" spans="2:14" x14ac:dyDescent="0.25">
      <c r="C31" s="37"/>
      <c r="D31" s="37"/>
      <c r="E31" s="37"/>
      <c r="F31" s="37"/>
      <c r="G31" s="37"/>
      <c r="H31" s="37"/>
      <c r="I31" s="37"/>
      <c r="J31" s="37"/>
      <c r="K31" s="37"/>
      <c r="L31" s="37"/>
      <c r="M31" s="37"/>
      <c r="N31" s="37"/>
    </row>
    <row r="32" spans="2:14" x14ac:dyDescent="0.25">
      <c r="C32" s="37"/>
      <c r="D32" s="37"/>
      <c r="E32" s="37"/>
      <c r="F32" s="37"/>
      <c r="G32" s="37"/>
      <c r="H32" s="37"/>
      <c r="I32" s="37"/>
      <c r="J32" s="37"/>
      <c r="K32" s="37"/>
      <c r="L32" s="37"/>
      <c r="M32" s="37"/>
      <c r="N32" s="37"/>
    </row>
    <row r="33" spans="3:14" x14ac:dyDescent="0.25">
      <c r="C33" s="37"/>
      <c r="D33" s="37"/>
      <c r="E33" s="37"/>
      <c r="F33" s="37"/>
      <c r="G33" s="37"/>
      <c r="H33" s="37"/>
      <c r="I33" s="37"/>
      <c r="J33" s="37"/>
      <c r="K33" s="37"/>
      <c r="L33" s="37"/>
      <c r="M33" s="37"/>
      <c r="N33" s="37"/>
    </row>
    <row r="34" spans="3:14" x14ac:dyDescent="0.25">
      <c r="C34" s="37"/>
      <c r="D34" s="37"/>
      <c r="E34" s="37"/>
      <c r="F34" s="37"/>
      <c r="G34" s="37"/>
      <c r="H34" s="37"/>
      <c r="I34" s="37"/>
      <c r="J34" s="37"/>
      <c r="K34" s="37"/>
      <c r="L34" s="37"/>
      <c r="M34" s="37"/>
      <c r="N34" s="37"/>
    </row>
    <row r="35" spans="3:14" x14ac:dyDescent="0.25">
      <c r="C35" s="37"/>
      <c r="D35" s="37"/>
      <c r="E35" s="37"/>
      <c r="F35" s="37"/>
      <c r="G35" s="37"/>
      <c r="H35" s="37"/>
      <c r="I35" s="37"/>
      <c r="J35" s="37"/>
      <c r="K35" s="37"/>
      <c r="L35" s="37"/>
      <c r="M35" s="37"/>
      <c r="N35" s="37"/>
    </row>
    <row r="36" spans="3:14" x14ac:dyDescent="0.25">
      <c r="C36" s="37"/>
      <c r="D36" s="37"/>
      <c r="E36" s="37"/>
      <c r="F36" s="37"/>
      <c r="G36" s="37"/>
      <c r="H36" s="37"/>
      <c r="I36" s="37"/>
      <c r="J36" s="37"/>
      <c r="K36" s="37"/>
      <c r="L36" s="37"/>
      <c r="M36" s="37"/>
      <c r="N36" s="37"/>
    </row>
    <row r="37" spans="3:14" x14ac:dyDescent="0.25">
      <c r="C37" s="37"/>
      <c r="D37" s="37"/>
      <c r="E37" s="37"/>
      <c r="F37" s="37"/>
      <c r="G37" s="37"/>
      <c r="H37" s="37"/>
      <c r="I37" s="37"/>
      <c r="J37" s="37"/>
      <c r="K37" s="37"/>
      <c r="L37" s="37"/>
      <c r="M37" s="37"/>
      <c r="N37" s="37"/>
    </row>
    <row r="38" spans="3:14" x14ac:dyDescent="0.25">
      <c r="C38" s="37"/>
      <c r="D38" s="37"/>
      <c r="E38" s="37"/>
      <c r="F38" s="37"/>
      <c r="G38" s="37"/>
      <c r="H38" s="37"/>
      <c r="I38" s="37"/>
      <c r="J38" s="37"/>
      <c r="K38" s="37"/>
      <c r="L38" s="37"/>
      <c r="M38" s="37"/>
      <c r="N38" s="37"/>
    </row>
    <row r="39" spans="3:14" x14ac:dyDescent="0.25">
      <c r="C39" s="37"/>
      <c r="D39" s="37"/>
      <c r="E39" s="37"/>
      <c r="F39" s="37"/>
      <c r="G39" s="37"/>
      <c r="H39" s="37"/>
      <c r="I39" s="37"/>
      <c r="J39" s="37"/>
      <c r="K39" s="37"/>
      <c r="L39" s="37"/>
      <c r="M39" s="37"/>
      <c r="N39" s="37"/>
    </row>
    <row r="40" spans="3:14" x14ac:dyDescent="0.25">
      <c r="C40" s="37"/>
      <c r="D40" s="37"/>
      <c r="E40" s="37"/>
      <c r="F40" s="37"/>
      <c r="G40" s="37"/>
      <c r="H40" s="37"/>
      <c r="I40" s="37"/>
      <c r="J40" s="37"/>
      <c r="K40" s="37"/>
      <c r="L40" s="37"/>
      <c r="M40" s="37"/>
      <c r="N40" s="37"/>
    </row>
    <row r="41" spans="3:14" x14ac:dyDescent="0.25">
      <c r="C41" s="37"/>
      <c r="D41" s="37"/>
      <c r="E41" s="37"/>
      <c r="F41" s="37"/>
      <c r="G41" s="37"/>
      <c r="H41" s="37"/>
      <c r="I41" s="37"/>
      <c r="J41" s="37"/>
      <c r="K41" s="37"/>
      <c r="L41" s="37"/>
      <c r="M41" s="37"/>
      <c r="N41" s="37"/>
    </row>
    <row r="42" spans="3:14" x14ac:dyDescent="0.25">
      <c r="C42" s="37"/>
      <c r="D42" s="37"/>
      <c r="E42" s="37"/>
      <c r="F42" s="37"/>
      <c r="G42" s="37"/>
      <c r="H42" s="37"/>
      <c r="I42" s="37"/>
      <c r="J42" s="37"/>
      <c r="K42" s="37"/>
      <c r="L42" s="37"/>
      <c r="M42" s="37"/>
      <c r="N42" s="37"/>
    </row>
    <row r="43" spans="3:14" x14ac:dyDescent="0.25">
      <c r="C43" s="37"/>
      <c r="D43" s="37"/>
      <c r="E43" s="37"/>
      <c r="F43" s="37"/>
      <c r="G43" s="37"/>
      <c r="H43" s="37"/>
      <c r="I43" s="37"/>
      <c r="J43" s="37"/>
      <c r="K43" s="37"/>
      <c r="L43" s="37"/>
      <c r="M43" s="37"/>
      <c r="N43" s="37"/>
    </row>
    <row r="44" spans="3:14" x14ac:dyDescent="0.25">
      <c r="C44" s="37"/>
      <c r="D44" s="37"/>
      <c r="E44" s="37"/>
      <c r="F44" s="37"/>
      <c r="G44" s="37"/>
      <c r="H44" s="37"/>
      <c r="I44" s="37"/>
      <c r="J44" s="37"/>
      <c r="K44" s="37"/>
      <c r="L44" s="37"/>
      <c r="M44" s="37"/>
      <c r="N44" s="37"/>
    </row>
    <row r="45" spans="3:14" x14ac:dyDescent="0.25">
      <c r="C45" s="37"/>
      <c r="D45" s="37"/>
      <c r="E45" s="37"/>
      <c r="F45" s="37"/>
      <c r="G45" s="37"/>
      <c r="H45" s="37"/>
      <c r="I45" s="37"/>
      <c r="J45" s="37"/>
      <c r="K45" s="37"/>
      <c r="L45" s="37"/>
      <c r="M45" s="37"/>
      <c r="N45" s="37"/>
    </row>
    <row r="46" spans="3:14" x14ac:dyDescent="0.25">
      <c r="C46" s="37"/>
      <c r="D46" s="37"/>
      <c r="E46" s="37"/>
      <c r="F46" s="37"/>
      <c r="G46" s="37"/>
      <c r="H46" s="37"/>
      <c r="I46" s="37"/>
      <c r="J46" s="37"/>
      <c r="K46" s="37"/>
      <c r="L46" s="37"/>
      <c r="M46" s="37"/>
      <c r="N46" s="37"/>
    </row>
    <row r="47" spans="3:14" x14ac:dyDescent="0.25">
      <c r="C47" s="37"/>
      <c r="D47" s="37"/>
      <c r="E47" s="37"/>
      <c r="F47" s="37"/>
      <c r="G47" s="37"/>
      <c r="H47" s="37"/>
      <c r="I47" s="37"/>
      <c r="J47" s="37"/>
      <c r="K47" s="37"/>
      <c r="L47" s="37"/>
      <c r="M47" s="37"/>
      <c r="N47" s="37"/>
    </row>
    <row r="48" spans="3:14" x14ac:dyDescent="0.25">
      <c r="C48" s="37"/>
      <c r="D48" s="37"/>
      <c r="E48" s="37"/>
      <c r="F48" s="37"/>
      <c r="G48" s="37"/>
      <c r="H48" s="37"/>
      <c r="I48" s="37"/>
      <c r="J48" s="37"/>
      <c r="K48" s="37"/>
      <c r="L48" s="37"/>
      <c r="M48" s="37"/>
      <c r="N48" s="37"/>
    </row>
    <row r="49" spans="3:14" x14ac:dyDescent="0.25">
      <c r="C49" s="37"/>
      <c r="D49" s="37"/>
      <c r="E49" s="37"/>
      <c r="F49" s="37"/>
      <c r="G49" s="37"/>
      <c r="H49" s="37"/>
      <c r="I49" s="37"/>
      <c r="J49" s="37"/>
      <c r="K49" s="37"/>
      <c r="L49" s="37"/>
      <c r="M49" s="37"/>
      <c r="N49" s="37"/>
    </row>
    <row r="50" spans="3:14" x14ac:dyDescent="0.25">
      <c r="C50" s="37"/>
      <c r="D50" s="37"/>
      <c r="E50" s="37"/>
      <c r="F50" s="37"/>
      <c r="G50" s="37"/>
      <c r="H50" s="37"/>
      <c r="I50" s="37"/>
      <c r="J50" s="37"/>
      <c r="K50" s="37"/>
      <c r="L50" s="37"/>
      <c r="M50" s="37"/>
      <c r="N50" s="37"/>
    </row>
    <row r="51" spans="3:14" x14ac:dyDescent="0.25">
      <c r="C51" s="37"/>
      <c r="D51" s="37"/>
      <c r="E51" s="37"/>
      <c r="F51" s="37"/>
      <c r="G51" s="37"/>
      <c r="H51" s="37"/>
      <c r="I51" s="37"/>
      <c r="J51" s="37"/>
      <c r="K51" s="37"/>
      <c r="L51" s="37"/>
      <c r="M51" s="37"/>
      <c r="N51" s="37"/>
    </row>
    <row r="52" spans="3:14" x14ac:dyDescent="0.25">
      <c r="C52" s="37"/>
      <c r="D52" s="37"/>
      <c r="E52" s="37"/>
      <c r="F52" s="37"/>
      <c r="G52" s="37"/>
      <c r="H52" s="37"/>
      <c r="I52" s="37"/>
      <c r="J52" s="37"/>
      <c r="K52" s="37"/>
      <c r="L52" s="37"/>
      <c r="M52" s="37"/>
      <c r="N52" s="37"/>
    </row>
    <row r="53" spans="3:14" x14ac:dyDescent="0.25">
      <c r="C53" s="37"/>
      <c r="D53" s="37"/>
      <c r="E53" s="37"/>
      <c r="F53" s="37"/>
      <c r="G53" s="37"/>
      <c r="H53" s="37"/>
      <c r="I53" s="37"/>
      <c r="J53" s="37"/>
      <c r="K53" s="37"/>
      <c r="L53" s="37"/>
      <c r="M53" s="37"/>
      <c r="N53" s="37"/>
    </row>
    <row r="54" spans="3:14" x14ac:dyDescent="0.25">
      <c r="C54" s="37"/>
      <c r="D54" s="37"/>
      <c r="E54" s="37"/>
      <c r="F54" s="37"/>
      <c r="G54" s="37"/>
      <c r="H54" s="37"/>
      <c r="I54" s="37"/>
      <c r="J54" s="37"/>
      <c r="K54" s="37"/>
      <c r="L54" s="37"/>
      <c r="M54" s="37"/>
      <c r="N54" s="37"/>
    </row>
    <row r="55" spans="3:14" x14ac:dyDescent="0.25">
      <c r="C55" s="37"/>
      <c r="D55" s="37"/>
      <c r="E55" s="37"/>
      <c r="F55" s="37"/>
      <c r="G55" s="37"/>
      <c r="H55" s="37"/>
      <c r="I55" s="37"/>
      <c r="J55" s="37"/>
      <c r="K55" s="37"/>
      <c r="L55" s="37"/>
      <c r="M55" s="37"/>
      <c r="N55" s="37"/>
    </row>
    <row r="56" spans="3:14" x14ac:dyDescent="0.25">
      <c r="C56" s="37"/>
      <c r="D56" s="37"/>
      <c r="E56" s="37"/>
      <c r="F56" s="37"/>
      <c r="G56" s="37"/>
      <c r="H56" s="37"/>
      <c r="I56" s="37"/>
      <c r="J56" s="37"/>
      <c r="K56" s="37"/>
      <c r="L56" s="37"/>
      <c r="M56" s="37"/>
      <c r="N56" s="37"/>
    </row>
    <row r="57" spans="3:14" x14ac:dyDescent="0.25">
      <c r="C57" s="37"/>
      <c r="D57" s="37"/>
      <c r="E57" s="37"/>
      <c r="F57" s="37"/>
      <c r="G57" s="37"/>
      <c r="H57" s="37"/>
      <c r="I57" s="37"/>
      <c r="J57" s="37"/>
      <c r="K57" s="37"/>
      <c r="L57" s="37"/>
      <c r="M57" s="37"/>
      <c r="N57" s="37"/>
    </row>
    <row r="58" spans="3:14" x14ac:dyDescent="0.25">
      <c r="C58" s="37"/>
      <c r="D58" s="37"/>
      <c r="E58" s="37"/>
      <c r="F58" s="37"/>
      <c r="G58" s="37"/>
      <c r="H58" s="37"/>
      <c r="I58" s="37"/>
      <c r="J58" s="37"/>
      <c r="K58" s="37"/>
      <c r="L58" s="37"/>
      <c r="M58" s="37"/>
      <c r="N58" s="37"/>
    </row>
    <row r="59" spans="3:14" x14ac:dyDescent="0.25">
      <c r="C59" s="37"/>
      <c r="D59" s="37"/>
      <c r="E59" s="37"/>
      <c r="F59" s="37"/>
      <c r="G59" s="37"/>
      <c r="H59" s="37"/>
      <c r="I59" s="37"/>
      <c r="J59" s="37"/>
      <c r="K59" s="37"/>
      <c r="L59" s="37"/>
      <c r="M59" s="37"/>
      <c r="N59" s="37"/>
    </row>
    <row r="60" spans="3:14" x14ac:dyDescent="0.25">
      <c r="C60" s="37"/>
      <c r="D60" s="37"/>
      <c r="E60" s="37"/>
      <c r="F60" s="37"/>
      <c r="G60" s="37"/>
      <c r="H60" s="37"/>
      <c r="I60" s="37"/>
      <c r="J60" s="37"/>
      <c r="K60" s="37"/>
      <c r="L60" s="37"/>
      <c r="M60" s="37"/>
      <c r="N60" s="37"/>
    </row>
    <row r="61" spans="3:14" x14ac:dyDescent="0.25">
      <c r="C61" s="37"/>
      <c r="D61" s="37"/>
      <c r="E61" s="37"/>
      <c r="F61" s="37"/>
      <c r="G61" s="37"/>
      <c r="H61" s="37"/>
      <c r="I61" s="37"/>
      <c r="J61" s="37"/>
      <c r="K61" s="37"/>
      <c r="L61" s="37"/>
      <c r="M61" s="37"/>
      <c r="N61" s="37"/>
    </row>
    <row r="62" spans="3:14" x14ac:dyDescent="0.25">
      <c r="C62" s="37"/>
      <c r="D62" s="37"/>
      <c r="E62" s="37"/>
      <c r="F62" s="37"/>
      <c r="G62" s="37"/>
      <c r="H62" s="37"/>
      <c r="I62" s="37"/>
      <c r="J62" s="37"/>
      <c r="K62" s="37"/>
      <c r="L62" s="37"/>
      <c r="M62" s="37"/>
      <c r="N62" s="37"/>
    </row>
    <row r="63" spans="3:14" x14ac:dyDescent="0.25">
      <c r="C63" s="37"/>
      <c r="D63" s="37"/>
      <c r="E63" s="37"/>
      <c r="F63" s="37"/>
      <c r="G63" s="37"/>
      <c r="H63" s="37"/>
      <c r="I63" s="37"/>
      <c r="J63" s="37"/>
      <c r="K63" s="37"/>
      <c r="L63" s="37"/>
      <c r="M63" s="37"/>
      <c r="N63" s="37"/>
    </row>
    <row r="64" spans="3:14" x14ac:dyDescent="0.25">
      <c r="C64" s="37"/>
      <c r="D64" s="37"/>
      <c r="E64" s="37"/>
      <c r="F64" s="37"/>
      <c r="G64" s="37"/>
      <c r="H64" s="37"/>
      <c r="I64" s="37"/>
      <c r="J64" s="37"/>
      <c r="K64" s="37"/>
      <c r="L64" s="37"/>
      <c r="M64" s="37"/>
      <c r="N64" s="37"/>
    </row>
    <row r="65" spans="3:14" x14ac:dyDescent="0.25">
      <c r="C65" s="37"/>
      <c r="D65" s="37"/>
      <c r="E65" s="37"/>
      <c r="F65" s="37"/>
      <c r="G65" s="37"/>
      <c r="H65" s="37"/>
      <c r="I65" s="37"/>
      <c r="J65" s="37"/>
      <c r="K65" s="37"/>
      <c r="L65" s="37"/>
      <c r="M65" s="37"/>
      <c r="N65" s="37"/>
    </row>
    <row r="66" spans="3:14" x14ac:dyDescent="0.25">
      <c r="C66" s="37"/>
      <c r="D66" s="37"/>
      <c r="E66" s="37"/>
      <c r="F66" s="37"/>
      <c r="G66" s="37"/>
      <c r="H66" s="37"/>
      <c r="I66" s="37"/>
      <c r="J66" s="37"/>
      <c r="K66" s="37"/>
      <c r="L66" s="37"/>
      <c r="M66" s="37"/>
      <c r="N66" s="37"/>
    </row>
    <row r="67" spans="3:14" x14ac:dyDescent="0.25">
      <c r="C67" s="37"/>
      <c r="D67" s="37"/>
      <c r="E67" s="37"/>
      <c r="F67" s="37"/>
      <c r="G67" s="37"/>
      <c r="H67" s="37"/>
      <c r="I67" s="37"/>
      <c r="J67" s="37"/>
      <c r="K67" s="37"/>
      <c r="L67" s="37"/>
      <c r="M67" s="37"/>
      <c r="N67" s="37"/>
    </row>
    <row r="68" spans="3:14" x14ac:dyDescent="0.25">
      <c r="C68" s="37"/>
      <c r="D68" s="37"/>
      <c r="E68" s="37"/>
      <c r="F68" s="37"/>
      <c r="G68" s="37"/>
      <c r="H68" s="37"/>
      <c r="I68" s="37"/>
      <c r="J68" s="37"/>
      <c r="K68" s="37"/>
      <c r="L68" s="37"/>
      <c r="M68" s="37"/>
      <c r="N68" s="37"/>
    </row>
    <row r="69" spans="3:14" x14ac:dyDescent="0.25">
      <c r="C69" s="37"/>
      <c r="D69" s="37"/>
      <c r="E69" s="37"/>
      <c r="F69" s="37"/>
      <c r="G69" s="37"/>
      <c r="H69" s="37"/>
      <c r="I69" s="37"/>
      <c r="J69" s="37"/>
      <c r="K69" s="37"/>
      <c r="L69" s="37"/>
      <c r="M69" s="37"/>
      <c r="N69" s="37"/>
    </row>
    <row r="70" spans="3:14" x14ac:dyDescent="0.25">
      <c r="C70" s="37"/>
      <c r="D70" s="37"/>
      <c r="E70" s="37"/>
      <c r="F70" s="37"/>
      <c r="G70" s="37"/>
      <c r="H70" s="37"/>
      <c r="I70" s="37"/>
      <c r="J70" s="37"/>
      <c r="K70" s="37"/>
      <c r="L70" s="37"/>
      <c r="M70" s="37"/>
      <c r="N70" s="37"/>
    </row>
    <row r="71" spans="3:14" x14ac:dyDescent="0.25">
      <c r="C71" s="37"/>
      <c r="D71" s="37"/>
      <c r="E71" s="37"/>
      <c r="F71" s="37"/>
      <c r="G71" s="37"/>
      <c r="H71" s="37"/>
      <c r="I71" s="37"/>
      <c r="J71" s="37"/>
      <c r="K71" s="37"/>
      <c r="L71" s="37"/>
      <c r="M71" s="37"/>
      <c r="N71" s="37"/>
    </row>
    <row r="72" spans="3:14" x14ac:dyDescent="0.25">
      <c r="C72" s="37"/>
      <c r="D72" s="37"/>
      <c r="E72" s="37"/>
      <c r="F72" s="37"/>
      <c r="G72" s="37"/>
      <c r="H72" s="37"/>
      <c r="I72" s="37"/>
      <c r="J72" s="37"/>
      <c r="K72" s="37"/>
      <c r="L72" s="37"/>
      <c r="M72" s="37"/>
      <c r="N72" s="37"/>
    </row>
    <row r="73" spans="3:14" x14ac:dyDescent="0.25">
      <c r="C73" s="37"/>
      <c r="D73" s="37"/>
      <c r="E73" s="37"/>
      <c r="F73" s="37"/>
      <c r="G73" s="37"/>
      <c r="H73" s="37"/>
      <c r="I73" s="37"/>
      <c r="J73" s="37"/>
      <c r="K73" s="37"/>
      <c r="L73" s="37"/>
      <c r="M73" s="37"/>
      <c r="N73" s="37"/>
    </row>
    <row r="74" spans="3:14" x14ac:dyDescent="0.25">
      <c r="C74" s="37"/>
      <c r="D74" s="37"/>
      <c r="E74" s="37"/>
      <c r="F74" s="37"/>
      <c r="G74" s="37"/>
      <c r="H74" s="37"/>
      <c r="I74" s="37"/>
      <c r="J74" s="37"/>
      <c r="K74" s="37"/>
      <c r="L74" s="37"/>
      <c r="M74" s="37"/>
      <c r="N74" s="37"/>
    </row>
    <row r="75" spans="3:14" x14ac:dyDescent="0.25">
      <c r="C75" s="37"/>
      <c r="D75" s="37"/>
      <c r="E75" s="37"/>
      <c r="F75" s="37"/>
      <c r="G75" s="37"/>
      <c r="H75" s="37"/>
      <c r="I75" s="37"/>
      <c r="J75" s="37"/>
      <c r="K75" s="37"/>
      <c r="L75" s="37"/>
      <c r="M75" s="37"/>
      <c r="N75" s="37"/>
    </row>
    <row r="76" spans="3:14" x14ac:dyDescent="0.25">
      <c r="C76" s="37"/>
      <c r="D76" s="37"/>
      <c r="E76" s="37"/>
      <c r="F76" s="37"/>
      <c r="G76" s="37"/>
      <c r="H76" s="37"/>
      <c r="I76" s="37"/>
      <c r="J76" s="37"/>
      <c r="K76" s="37"/>
      <c r="L76" s="37"/>
      <c r="M76" s="37"/>
      <c r="N76" s="37"/>
    </row>
    <row r="78" spans="3:14" x14ac:dyDescent="0.25">
      <c r="C78" s="37"/>
      <c r="D78" s="37"/>
      <c r="E78" s="37"/>
      <c r="F78" s="37"/>
      <c r="G78" s="37"/>
      <c r="H78" s="37"/>
      <c r="I78" s="37"/>
      <c r="J78" s="37"/>
      <c r="K78" s="37"/>
      <c r="L78" s="37"/>
      <c r="M78" s="37"/>
      <c r="N78" s="37"/>
    </row>
    <row r="79" spans="3:14" x14ac:dyDescent="0.25">
      <c r="C79" s="37"/>
      <c r="D79" s="37"/>
      <c r="E79" s="37"/>
      <c r="F79" s="37"/>
      <c r="G79" s="37"/>
      <c r="H79" s="37"/>
      <c r="I79" s="37"/>
      <c r="J79" s="37"/>
      <c r="K79" s="37"/>
      <c r="L79" s="37"/>
      <c r="M79" s="37"/>
      <c r="N79" s="37"/>
    </row>
    <row r="80" spans="3:14" x14ac:dyDescent="0.25">
      <c r="C80" s="37"/>
      <c r="D80" s="37"/>
      <c r="E80" s="37"/>
      <c r="F80" s="37"/>
      <c r="G80" s="37"/>
      <c r="H80" s="37"/>
      <c r="I80" s="37"/>
      <c r="J80" s="37"/>
      <c r="K80" s="37"/>
      <c r="L80" s="37"/>
      <c r="M80" s="37"/>
      <c r="N80" s="37"/>
    </row>
    <row r="81" spans="3:14" x14ac:dyDescent="0.25">
      <c r="C81" s="37"/>
      <c r="D81" s="37"/>
      <c r="E81" s="37"/>
      <c r="F81" s="37"/>
      <c r="G81" s="37"/>
      <c r="H81" s="37"/>
      <c r="I81" s="37"/>
      <c r="J81" s="37"/>
      <c r="K81" s="37"/>
      <c r="L81" s="37"/>
      <c r="M81" s="37"/>
      <c r="N81" s="37"/>
    </row>
    <row r="82" spans="3:14" x14ac:dyDescent="0.25">
      <c r="C82" s="37"/>
      <c r="D82" s="37"/>
      <c r="E82" s="37"/>
      <c r="F82" s="37"/>
      <c r="G82" s="37"/>
      <c r="H82" s="37"/>
      <c r="I82" s="37"/>
      <c r="J82" s="37"/>
      <c r="K82" s="37"/>
      <c r="L82" s="37"/>
      <c r="M82" s="37"/>
      <c r="N82" s="37"/>
    </row>
    <row r="83" spans="3:14" x14ac:dyDescent="0.25">
      <c r="C83" s="37"/>
      <c r="D83" s="37"/>
      <c r="E83" s="37"/>
      <c r="F83" s="37"/>
      <c r="G83" s="37"/>
      <c r="H83" s="37"/>
      <c r="I83" s="37"/>
      <c r="J83" s="37"/>
      <c r="K83" s="37"/>
      <c r="L83" s="37"/>
      <c r="M83" s="37"/>
      <c r="N83" s="37"/>
    </row>
    <row r="84" spans="3:14" x14ac:dyDescent="0.25">
      <c r="C84" s="37"/>
      <c r="D84" s="37"/>
      <c r="E84" s="37"/>
      <c r="F84" s="37"/>
      <c r="G84" s="37"/>
      <c r="H84" s="37"/>
      <c r="I84" s="37"/>
      <c r="J84" s="37"/>
      <c r="K84" s="37"/>
      <c r="L84" s="37"/>
      <c r="M84" s="37"/>
      <c r="N84" s="37"/>
    </row>
    <row r="85" spans="3:14" x14ac:dyDescent="0.25">
      <c r="C85" s="37"/>
      <c r="D85" s="37"/>
      <c r="E85" s="37"/>
      <c r="F85" s="37"/>
      <c r="G85" s="37"/>
      <c r="H85" s="37"/>
      <c r="I85" s="37"/>
      <c r="J85" s="37"/>
      <c r="K85" s="37"/>
      <c r="L85" s="37"/>
      <c r="M85" s="37"/>
      <c r="N85" s="37"/>
    </row>
    <row r="87" spans="3:14" x14ac:dyDescent="0.25">
      <c r="C87" s="37"/>
      <c r="D87" s="37"/>
      <c r="E87" s="37"/>
      <c r="F87" s="37"/>
      <c r="G87" s="37"/>
      <c r="H87" s="37"/>
      <c r="I87" s="37"/>
      <c r="J87" s="37"/>
      <c r="K87" s="37"/>
      <c r="L87" s="37"/>
      <c r="M87" s="37"/>
      <c r="N87" s="37"/>
    </row>
    <row r="88" spans="3:14" x14ac:dyDescent="0.25">
      <c r="C88" s="37"/>
      <c r="D88" s="37"/>
      <c r="E88" s="37"/>
      <c r="F88" s="37"/>
      <c r="G88" s="37"/>
      <c r="H88" s="37"/>
      <c r="I88" s="37"/>
      <c r="J88" s="37"/>
      <c r="K88" s="37"/>
      <c r="L88" s="37"/>
      <c r="M88" s="37"/>
      <c r="N88" s="37"/>
    </row>
    <row r="89" spans="3:14" x14ac:dyDescent="0.25">
      <c r="C89" s="37"/>
      <c r="D89" s="37"/>
      <c r="E89" s="37"/>
      <c r="F89" s="37"/>
      <c r="G89" s="37"/>
      <c r="H89" s="37"/>
      <c r="I89" s="37"/>
      <c r="J89" s="37"/>
      <c r="K89" s="37"/>
      <c r="L89" s="37"/>
      <c r="M89" s="37"/>
      <c r="N89" s="37"/>
    </row>
    <row r="90" spans="3:14" x14ac:dyDescent="0.25">
      <c r="C90" s="37"/>
      <c r="D90" s="37"/>
      <c r="E90" s="37"/>
      <c r="F90" s="37"/>
      <c r="G90" s="37"/>
      <c r="H90" s="37"/>
      <c r="I90" s="37"/>
      <c r="J90" s="37"/>
      <c r="K90" s="37"/>
      <c r="L90" s="37"/>
      <c r="M90" s="37"/>
      <c r="N90" s="37"/>
    </row>
    <row r="91" spans="3:14" x14ac:dyDescent="0.25">
      <c r="C91" s="37"/>
      <c r="D91" s="37"/>
      <c r="E91" s="37"/>
      <c r="F91" s="37"/>
      <c r="G91" s="37"/>
      <c r="H91" s="37"/>
      <c r="I91" s="37"/>
      <c r="J91" s="37"/>
      <c r="K91" s="37"/>
      <c r="L91" s="37"/>
      <c r="M91" s="37"/>
      <c r="N91" s="37"/>
    </row>
    <row r="93" spans="3:14" x14ac:dyDescent="0.25">
      <c r="C93" s="37"/>
      <c r="D93" s="37"/>
      <c r="E93" s="37"/>
      <c r="F93" s="37"/>
      <c r="G93" s="37"/>
      <c r="H93" s="37"/>
      <c r="I93" s="37"/>
      <c r="J93" s="37"/>
      <c r="K93" s="37"/>
      <c r="L93" s="37"/>
      <c r="M93" s="37"/>
      <c r="N93" s="37"/>
    </row>
  </sheetData>
  <mergeCells count="3">
    <mergeCell ref="B3:E3"/>
    <mergeCell ref="F3:I3"/>
    <mergeCell ref="J3:K3"/>
  </mergeCells>
  <pageMargins left="0.7" right="0.7" top="0.75" bottom="0.75" header="0.3" footer="0.3"/>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U45"/>
  <sheetViews>
    <sheetView topLeftCell="A13" zoomScale="145" zoomScaleNormal="145" workbookViewId="0">
      <selection activeCell="G47" sqref="G47"/>
    </sheetView>
  </sheetViews>
  <sheetFormatPr baseColWidth="10" defaultColWidth="10.5703125" defaultRowHeight="15" x14ac:dyDescent="0.25"/>
  <cols>
    <col min="1" max="1" width="10.5703125" style="37"/>
    <col min="2" max="2" width="9.28515625" style="37" customWidth="1"/>
    <col min="3" max="14" width="7.28515625" style="37" customWidth="1"/>
    <col min="15" max="16" width="7.28515625" style="322" customWidth="1"/>
    <col min="17" max="18" width="4" style="37" customWidth="1"/>
    <col min="19" max="19" width="75.85546875" style="37" customWidth="1"/>
    <col min="20" max="20" width="5.140625" style="37" customWidth="1"/>
    <col min="21" max="21" width="94" style="323" customWidth="1"/>
    <col min="22" max="257" width="10.5703125" style="37"/>
    <col min="258" max="258" width="9.28515625" style="37" customWidth="1"/>
    <col min="259" max="272" width="7.28515625" style="37" customWidth="1"/>
    <col min="273" max="274" width="4" style="37" customWidth="1"/>
    <col min="275" max="275" width="75.85546875" style="37" customWidth="1"/>
    <col min="276" max="276" width="5.140625" style="37" customWidth="1"/>
    <col min="277" max="513" width="10.5703125" style="37"/>
    <col min="514" max="514" width="9.28515625" style="37" customWidth="1"/>
    <col min="515" max="528" width="7.28515625" style="37" customWidth="1"/>
    <col min="529" max="530" width="4" style="37" customWidth="1"/>
    <col min="531" max="531" width="75.85546875" style="37" customWidth="1"/>
    <col min="532" max="532" width="5.140625" style="37" customWidth="1"/>
    <col min="533" max="769" width="10.5703125" style="37"/>
    <col min="770" max="770" width="9.28515625" style="37" customWidth="1"/>
    <col min="771" max="784" width="7.28515625" style="37" customWidth="1"/>
    <col min="785" max="786" width="4" style="37" customWidth="1"/>
    <col min="787" max="787" width="75.85546875" style="37" customWidth="1"/>
    <col min="788" max="788" width="5.140625" style="37" customWidth="1"/>
    <col min="789" max="1025" width="10.5703125" style="37"/>
    <col min="1026" max="1026" width="9.28515625" style="37" customWidth="1"/>
    <col min="1027" max="1040" width="7.28515625" style="37" customWidth="1"/>
    <col min="1041" max="1042" width="4" style="37" customWidth="1"/>
    <col min="1043" max="1043" width="75.85546875" style="37" customWidth="1"/>
    <col min="1044" max="1044" width="5.140625" style="37" customWidth="1"/>
    <col min="1045" max="1281" width="10.5703125" style="37"/>
    <col min="1282" max="1282" width="9.28515625" style="37" customWidth="1"/>
    <col min="1283" max="1296" width="7.28515625" style="37" customWidth="1"/>
    <col min="1297" max="1298" width="4" style="37" customWidth="1"/>
    <col min="1299" max="1299" width="75.85546875" style="37" customWidth="1"/>
    <col min="1300" max="1300" width="5.140625" style="37" customWidth="1"/>
    <col min="1301" max="1537" width="10.5703125" style="37"/>
    <col min="1538" max="1538" width="9.28515625" style="37" customWidth="1"/>
    <col min="1539" max="1552" width="7.28515625" style="37" customWidth="1"/>
    <col min="1553" max="1554" width="4" style="37" customWidth="1"/>
    <col min="1555" max="1555" width="75.85546875" style="37" customWidth="1"/>
    <col min="1556" max="1556" width="5.140625" style="37" customWidth="1"/>
    <col min="1557" max="1793" width="10.5703125" style="37"/>
    <col min="1794" max="1794" width="9.28515625" style="37" customWidth="1"/>
    <col min="1795" max="1808" width="7.28515625" style="37" customWidth="1"/>
    <col min="1809" max="1810" width="4" style="37" customWidth="1"/>
    <col min="1811" max="1811" width="75.85546875" style="37" customWidth="1"/>
    <col min="1812" max="1812" width="5.140625" style="37" customWidth="1"/>
    <col min="1813" max="2049" width="10.5703125" style="37"/>
    <col min="2050" max="2050" width="9.28515625" style="37" customWidth="1"/>
    <col min="2051" max="2064" width="7.28515625" style="37" customWidth="1"/>
    <col min="2065" max="2066" width="4" style="37" customWidth="1"/>
    <col min="2067" max="2067" width="75.85546875" style="37" customWidth="1"/>
    <col min="2068" max="2068" width="5.140625" style="37" customWidth="1"/>
    <col min="2069" max="2305" width="10.5703125" style="37"/>
    <col min="2306" max="2306" width="9.28515625" style="37" customWidth="1"/>
    <col min="2307" max="2320" width="7.28515625" style="37" customWidth="1"/>
    <col min="2321" max="2322" width="4" style="37" customWidth="1"/>
    <col min="2323" max="2323" width="75.85546875" style="37" customWidth="1"/>
    <col min="2324" max="2324" width="5.140625" style="37" customWidth="1"/>
    <col min="2325" max="2561" width="10.5703125" style="37"/>
    <col min="2562" max="2562" width="9.28515625" style="37" customWidth="1"/>
    <col min="2563" max="2576" width="7.28515625" style="37" customWidth="1"/>
    <col min="2577" max="2578" width="4" style="37" customWidth="1"/>
    <col min="2579" max="2579" width="75.85546875" style="37" customWidth="1"/>
    <col min="2580" max="2580" width="5.140625" style="37" customWidth="1"/>
    <col min="2581" max="2817" width="10.5703125" style="37"/>
    <col min="2818" max="2818" width="9.28515625" style="37" customWidth="1"/>
    <col min="2819" max="2832" width="7.28515625" style="37" customWidth="1"/>
    <col min="2833" max="2834" width="4" style="37" customWidth="1"/>
    <col min="2835" max="2835" width="75.85546875" style="37" customWidth="1"/>
    <col min="2836" max="2836" width="5.140625" style="37" customWidth="1"/>
    <col min="2837" max="3073" width="10.5703125" style="37"/>
    <col min="3074" max="3074" width="9.28515625" style="37" customWidth="1"/>
    <col min="3075" max="3088" width="7.28515625" style="37" customWidth="1"/>
    <col min="3089" max="3090" width="4" style="37" customWidth="1"/>
    <col min="3091" max="3091" width="75.85546875" style="37" customWidth="1"/>
    <col min="3092" max="3092" width="5.140625" style="37" customWidth="1"/>
    <col min="3093" max="3329" width="10.5703125" style="37"/>
    <col min="3330" max="3330" width="9.28515625" style="37" customWidth="1"/>
    <col min="3331" max="3344" width="7.28515625" style="37" customWidth="1"/>
    <col min="3345" max="3346" width="4" style="37" customWidth="1"/>
    <col min="3347" max="3347" width="75.85546875" style="37" customWidth="1"/>
    <col min="3348" max="3348" width="5.140625" style="37" customWidth="1"/>
    <col min="3349" max="3585" width="10.5703125" style="37"/>
    <col min="3586" max="3586" width="9.28515625" style="37" customWidth="1"/>
    <col min="3587" max="3600" width="7.28515625" style="37" customWidth="1"/>
    <col min="3601" max="3602" width="4" style="37" customWidth="1"/>
    <col min="3603" max="3603" width="75.85546875" style="37" customWidth="1"/>
    <col min="3604" max="3604" width="5.140625" style="37" customWidth="1"/>
    <col min="3605" max="3841" width="10.5703125" style="37"/>
    <col min="3842" max="3842" width="9.28515625" style="37" customWidth="1"/>
    <col min="3843" max="3856" width="7.28515625" style="37" customWidth="1"/>
    <col min="3857" max="3858" width="4" style="37" customWidth="1"/>
    <col min="3859" max="3859" width="75.85546875" style="37" customWidth="1"/>
    <col min="3860" max="3860" width="5.140625" style="37" customWidth="1"/>
    <col min="3861" max="4097" width="10.5703125" style="37"/>
    <col min="4098" max="4098" width="9.28515625" style="37" customWidth="1"/>
    <col min="4099" max="4112" width="7.28515625" style="37" customWidth="1"/>
    <col min="4113" max="4114" width="4" style="37" customWidth="1"/>
    <col min="4115" max="4115" width="75.85546875" style="37" customWidth="1"/>
    <col min="4116" max="4116" width="5.140625" style="37" customWidth="1"/>
    <col min="4117" max="4353" width="10.5703125" style="37"/>
    <col min="4354" max="4354" width="9.28515625" style="37" customWidth="1"/>
    <col min="4355" max="4368" width="7.28515625" style="37" customWidth="1"/>
    <col min="4369" max="4370" width="4" style="37" customWidth="1"/>
    <col min="4371" max="4371" width="75.85546875" style="37" customWidth="1"/>
    <col min="4372" max="4372" width="5.140625" style="37" customWidth="1"/>
    <col min="4373" max="4609" width="10.5703125" style="37"/>
    <col min="4610" max="4610" width="9.28515625" style="37" customWidth="1"/>
    <col min="4611" max="4624" width="7.28515625" style="37" customWidth="1"/>
    <col min="4625" max="4626" width="4" style="37" customWidth="1"/>
    <col min="4627" max="4627" width="75.85546875" style="37" customWidth="1"/>
    <col min="4628" max="4628" width="5.140625" style="37" customWidth="1"/>
    <col min="4629" max="4865" width="10.5703125" style="37"/>
    <col min="4866" max="4866" width="9.28515625" style="37" customWidth="1"/>
    <col min="4867" max="4880" width="7.28515625" style="37" customWidth="1"/>
    <col min="4881" max="4882" width="4" style="37" customWidth="1"/>
    <col min="4883" max="4883" width="75.85546875" style="37" customWidth="1"/>
    <col min="4884" max="4884" width="5.140625" style="37" customWidth="1"/>
    <col min="4885" max="5121" width="10.5703125" style="37"/>
    <col min="5122" max="5122" width="9.28515625" style="37" customWidth="1"/>
    <col min="5123" max="5136" width="7.28515625" style="37" customWidth="1"/>
    <col min="5137" max="5138" width="4" style="37" customWidth="1"/>
    <col min="5139" max="5139" width="75.85546875" style="37" customWidth="1"/>
    <col min="5140" max="5140" width="5.140625" style="37" customWidth="1"/>
    <col min="5141" max="5377" width="10.5703125" style="37"/>
    <col min="5378" max="5378" width="9.28515625" style="37" customWidth="1"/>
    <col min="5379" max="5392" width="7.28515625" style="37" customWidth="1"/>
    <col min="5393" max="5394" width="4" style="37" customWidth="1"/>
    <col min="5395" max="5395" width="75.85546875" style="37" customWidth="1"/>
    <col min="5396" max="5396" width="5.140625" style="37" customWidth="1"/>
    <col min="5397" max="5633" width="10.5703125" style="37"/>
    <col min="5634" max="5634" width="9.28515625" style="37" customWidth="1"/>
    <col min="5635" max="5648" width="7.28515625" style="37" customWidth="1"/>
    <col min="5649" max="5650" width="4" style="37" customWidth="1"/>
    <col min="5651" max="5651" width="75.85546875" style="37" customWidth="1"/>
    <col min="5652" max="5652" width="5.140625" style="37" customWidth="1"/>
    <col min="5653" max="5889" width="10.5703125" style="37"/>
    <col min="5890" max="5890" width="9.28515625" style="37" customWidth="1"/>
    <col min="5891" max="5904" width="7.28515625" style="37" customWidth="1"/>
    <col min="5905" max="5906" width="4" style="37" customWidth="1"/>
    <col min="5907" max="5907" width="75.85546875" style="37" customWidth="1"/>
    <col min="5908" max="5908" width="5.140625" style="37" customWidth="1"/>
    <col min="5909" max="6145" width="10.5703125" style="37"/>
    <col min="6146" max="6146" width="9.28515625" style="37" customWidth="1"/>
    <col min="6147" max="6160" width="7.28515625" style="37" customWidth="1"/>
    <col min="6161" max="6162" width="4" style="37" customWidth="1"/>
    <col min="6163" max="6163" width="75.85546875" style="37" customWidth="1"/>
    <col min="6164" max="6164" width="5.140625" style="37" customWidth="1"/>
    <col min="6165" max="6401" width="10.5703125" style="37"/>
    <col min="6402" max="6402" width="9.28515625" style="37" customWidth="1"/>
    <col min="6403" max="6416" width="7.28515625" style="37" customWidth="1"/>
    <col min="6417" max="6418" width="4" style="37" customWidth="1"/>
    <col min="6419" max="6419" width="75.85546875" style="37" customWidth="1"/>
    <col min="6420" max="6420" width="5.140625" style="37" customWidth="1"/>
    <col min="6421" max="6657" width="10.5703125" style="37"/>
    <col min="6658" max="6658" width="9.28515625" style="37" customWidth="1"/>
    <col min="6659" max="6672" width="7.28515625" style="37" customWidth="1"/>
    <col min="6673" max="6674" width="4" style="37" customWidth="1"/>
    <col min="6675" max="6675" width="75.85546875" style="37" customWidth="1"/>
    <col min="6676" max="6676" width="5.140625" style="37" customWidth="1"/>
    <col min="6677" max="6913" width="10.5703125" style="37"/>
    <col min="6914" max="6914" width="9.28515625" style="37" customWidth="1"/>
    <col min="6915" max="6928" width="7.28515625" style="37" customWidth="1"/>
    <col min="6929" max="6930" width="4" style="37" customWidth="1"/>
    <col min="6931" max="6931" width="75.85546875" style="37" customWidth="1"/>
    <col min="6932" max="6932" width="5.140625" style="37" customWidth="1"/>
    <col min="6933" max="7169" width="10.5703125" style="37"/>
    <col min="7170" max="7170" width="9.28515625" style="37" customWidth="1"/>
    <col min="7171" max="7184" width="7.28515625" style="37" customWidth="1"/>
    <col min="7185" max="7186" width="4" style="37" customWidth="1"/>
    <col min="7187" max="7187" width="75.85546875" style="37" customWidth="1"/>
    <col min="7188" max="7188" width="5.140625" style="37" customWidth="1"/>
    <col min="7189" max="7425" width="10.5703125" style="37"/>
    <col min="7426" max="7426" width="9.28515625" style="37" customWidth="1"/>
    <col min="7427" max="7440" width="7.28515625" style="37" customWidth="1"/>
    <col min="7441" max="7442" width="4" style="37" customWidth="1"/>
    <col min="7443" max="7443" width="75.85546875" style="37" customWidth="1"/>
    <col min="7444" max="7444" width="5.140625" style="37" customWidth="1"/>
    <col min="7445" max="7681" width="10.5703125" style="37"/>
    <col min="7682" max="7682" width="9.28515625" style="37" customWidth="1"/>
    <col min="7683" max="7696" width="7.28515625" style="37" customWidth="1"/>
    <col min="7697" max="7698" width="4" style="37" customWidth="1"/>
    <col min="7699" max="7699" width="75.85546875" style="37" customWidth="1"/>
    <col min="7700" max="7700" width="5.140625" style="37" customWidth="1"/>
    <col min="7701" max="7937" width="10.5703125" style="37"/>
    <col min="7938" max="7938" width="9.28515625" style="37" customWidth="1"/>
    <col min="7939" max="7952" width="7.28515625" style="37" customWidth="1"/>
    <col min="7953" max="7954" width="4" style="37" customWidth="1"/>
    <col min="7955" max="7955" width="75.85546875" style="37" customWidth="1"/>
    <col min="7956" max="7956" width="5.140625" style="37" customWidth="1"/>
    <col min="7957" max="8193" width="10.5703125" style="37"/>
    <col min="8194" max="8194" width="9.28515625" style="37" customWidth="1"/>
    <col min="8195" max="8208" width="7.28515625" style="37" customWidth="1"/>
    <col min="8209" max="8210" width="4" style="37" customWidth="1"/>
    <col min="8211" max="8211" width="75.85546875" style="37" customWidth="1"/>
    <col min="8212" max="8212" width="5.140625" style="37" customWidth="1"/>
    <col min="8213" max="8449" width="10.5703125" style="37"/>
    <col min="8450" max="8450" width="9.28515625" style="37" customWidth="1"/>
    <col min="8451" max="8464" width="7.28515625" style="37" customWidth="1"/>
    <col min="8465" max="8466" width="4" style="37" customWidth="1"/>
    <col min="8467" max="8467" width="75.85546875" style="37" customWidth="1"/>
    <col min="8468" max="8468" width="5.140625" style="37" customWidth="1"/>
    <col min="8469" max="8705" width="10.5703125" style="37"/>
    <col min="8706" max="8706" width="9.28515625" style="37" customWidth="1"/>
    <col min="8707" max="8720" width="7.28515625" style="37" customWidth="1"/>
    <col min="8721" max="8722" width="4" style="37" customWidth="1"/>
    <col min="8723" max="8723" width="75.85546875" style="37" customWidth="1"/>
    <col min="8724" max="8724" width="5.140625" style="37" customWidth="1"/>
    <col min="8725" max="8961" width="10.5703125" style="37"/>
    <col min="8962" max="8962" width="9.28515625" style="37" customWidth="1"/>
    <col min="8963" max="8976" width="7.28515625" style="37" customWidth="1"/>
    <col min="8977" max="8978" width="4" style="37" customWidth="1"/>
    <col min="8979" max="8979" width="75.85546875" style="37" customWidth="1"/>
    <col min="8980" max="8980" width="5.140625" style="37" customWidth="1"/>
    <col min="8981" max="9217" width="10.5703125" style="37"/>
    <col min="9218" max="9218" width="9.28515625" style="37" customWidth="1"/>
    <col min="9219" max="9232" width="7.28515625" style="37" customWidth="1"/>
    <col min="9233" max="9234" width="4" style="37" customWidth="1"/>
    <col min="9235" max="9235" width="75.85546875" style="37" customWidth="1"/>
    <col min="9236" max="9236" width="5.140625" style="37" customWidth="1"/>
    <col min="9237" max="9473" width="10.5703125" style="37"/>
    <col min="9474" max="9474" width="9.28515625" style="37" customWidth="1"/>
    <col min="9475" max="9488" width="7.28515625" style="37" customWidth="1"/>
    <col min="9489" max="9490" width="4" style="37" customWidth="1"/>
    <col min="9491" max="9491" width="75.85546875" style="37" customWidth="1"/>
    <col min="9492" max="9492" width="5.140625" style="37" customWidth="1"/>
    <col min="9493" max="9729" width="10.5703125" style="37"/>
    <col min="9730" max="9730" width="9.28515625" style="37" customWidth="1"/>
    <col min="9731" max="9744" width="7.28515625" style="37" customWidth="1"/>
    <col min="9745" max="9746" width="4" style="37" customWidth="1"/>
    <col min="9747" max="9747" width="75.85546875" style="37" customWidth="1"/>
    <col min="9748" max="9748" width="5.140625" style="37" customWidth="1"/>
    <col min="9749" max="9985" width="10.5703125" style="37"/>
    <col min="9986" max="9986" width="9.28515625" style="37" customWidth="1"/>
    <col min="9987" max="10000" width="7.28515625" style="37" customWidth="1"/>
    <col min="10001" max="10002" width="4" style="37" customWidth="1"/>
    <col min="10003" max="10003" width="75.85546875" style="37" customWidth="1"/>
    <col min="10004" max="10004" width="5.140625" style="37" customWidth="1"/>
    <col min="10005" max="10241" width="10.5703125" style="37"/>
    <col min="10242" max="10242" width="9.28515625" style="37" customWidth="1"/>
    <col min="10243" max="10256" width="7.28515625" style="37" customWidth="1"/>
    <col min="10257" max="10258" width="4" style="37" customWidth="1"/>
    <col min="10259" max="10259" width="75.85546875" style="37" customWidth="1"/>
    <col min="10260" max="10260" width="5.140625" style="37" customWidth="1"/>
    <col min="10261" max="10497" width="10.5703125" style="37"/>
    <col min="10498" max="10498" width="9.28515625" style="37" customWidth="1"/>
    <col min="10499" max="10512" width="7.28515625" style="37" customWidth="1"/>
    <col min="10513" max="10514" width="4" style="37" customWidth="1"/>
    <col min="10515" max="10515" width="75.85546875" style="37" customWidth="1"/>
    <col min="10516" max="10516" width="5.140625" style="37" customWidth="1"/>
    <col min="10517" max="10753" width="10.5703125" style="37"/>
    <col min="10754" max="10754" width="9.28515625" style="37" customWidth="1"/>
    <col min="10755" max="10768" width="7.28515625" style="37" customWidth="1"/>
    <col min="10769" max="10770" width="4" style="37" customWidth="1"/>
    <col min="10771" max="10771" width="75.85546875" style="37" customWidth="1"/>
    <col min="10772" max="10772" width="5.140625" style="37" customWidth="1"/>
    <col min="10773" max="11009" width="10.5703125" style="37"/>
    <col min="11010" max="11010" width="9.28515625" style="37" customWidth="1"/>
    <col min="11011" max="11024" width="7.28515625" style="37" customWidth="1"/>
    <col min="11025" max="11026" width="4" style="37" customWidth="1"/>
    <col min="11027" max="11027" width="75.85546875" style="37" customWidth="1"/>
    <col min="11028" max="11028" width="5.140625" style="37" customWidth="1"/>
    <col min="11029" max="11265" width="10.5703125" style="37"/>
    <col min="11266" max="11266" width="9.28515625" style="37" customWidth="1"/>
    <col min="11267" max="11280" width="7.28515625" style="37" customWidth="1"/>
    <col min="11281" max="11282" width="4" style="37" customWidth="1"/>
    <col min="11283" max="11283" width="75.85546875" style="37" customWidth="1"/>
    <col min="11284" max="11284" width="5.140625" style="37" customWidth="1"/>
    <col min="11285" max="11521" width="10.5703125" style="37"/>
    <col min="11522" max="11522" width="9.28515625" style="37" customWidth="1"/>
    <col min="11523" max="11536" width="7.28515625" style="37" customWidth="1"/>
    <col min="11537" max="11538" width="4" style="37" customWidth="1"/>
    <col min="11539" max="11539" width="75.85546875" style="37" customWidth="1"/>
    <col min="11540" max="11540" width="5.140625" style="37" customWidth="1"/>
    <col min="11541" max="11777" width="10.5703125" style="37"/>
    <col min="11778" max="11778" width="9.28515625" style="37" customWidth="1"/>
    <col min="11779" max="11792" width="7.28515625" style="37" customWidth="1"/>
    <col min="11793" max="11794" width="4" style="37" customWidth="1"/>
    <col min="11795" max="11795" width="75.85546875" style="37" customWidth="1"/>
    <col min="11796" max="11796" width="5.140625" style="37" customWidth="1"/>
    <col min="11797" max="12033" width="10.5703125" style="37"/>
    <col min="12034" max="12034" width="9.28515625" style="37" customWidth="1"/>
    <col min="12035" max="12048" width="7.28515625" style="37" customWidth="1"/>
    <col min="12049" max="12050" width="4" style="37" customWidth="1"/>
    <col min="12051" max="12051" width="75.85546875" style="37" customWidth="1"/>
    <col min="12052" max="12052" width="5.140625" style="37" customWidth="1"/>
    <col min="12053" max="12289" width="10.5703125" style="37"/>
    <col min="12290" max="12290" width="9.28515625" style="37" customWidth="1"/>
    <col min="12291" max="12304" width="7.28515625" style="37" customWidth="1"/>
    <col min="12305" max="12306" width="4" style="37" customWidth="1"/>
    <col min="12307" max="12307" width="75.85546875" style="37" customWidth="1"/>
    <col min="12308" max="12308" width="5.140625" style="37" customWidth="1"/>
    <col min="12309" max="12545" width="10.5703125" style="37"/>
    <col min="12546" max="12546" width="9.28515625" style="37" customWidth="1"/>
    <col min="12547" max="12560" width="7.28515625" style="37" customWidth="1"/>
    <col min="12561" max="12562" width="4" style="37" customWidth="1"/>
    <col min="12563" max="12563" width="75.85546875" style="37" customWidth="1"/>
    <col min="12564" max="12564" width="5.140625" style="37" customWidth="1"/>
    <col min="12565" max="12801" width="10.5703125" style="37"/>
    <col min="12802" max="12802" width="9.28515625" style="37" customWidth="1"/>
    <col min="12803" max="12816" width="7.28515625" style="37" customWidth="1"/>
    <col min="12817" max="12818" width="4" style="37" customWidth="1"/>
    <col min="12819" max="12819" width="75.85546875" style="37" customWidth="1"/>
    <col min="12820" max="12820" width="5.140625" style="37" customWidth="1"/>
    <col min="12821" max="13057" width="10.5703125" style="37"/>
    <col min="13058" max="13058" width="9.28515625" style="37" customWidth="1"/>
    <col min="13059" max="13072" width="7.28515625" style="37" customWidth="1"/>
    <col min="13073" max="13074" width="4" style="37" customWidth="1"/>
    <col min="13075" max="13075" width="75.85546875" style="37" customWidth="1"/>
    <col min="13076" max="13076" width="5.140625" style="37" customWidth="1"/>
    <col min="13077" max="13313" width="10.5703125" style="37"/>
    <col min="13314" max="13314" width="9.28515625" style="37" customWidth="1"/>
    <col min="13315" max="13328" width="7.28515625" style="37" customWidth="1"/>
    <col min="13329" max="13330" width="4" style="37" customWidth="1"/>
    <col min="13331" max="13331" width="75.85546875" style="37" customWidth="1"/>
    <col min="13332" max="13332" width="5.140625" style="37" customWidth="1"/>
    <col min="13333" max="13569" width="10.5703125" style="37"/>
    <col min="13570" max="13570" width="9.28515625" style="37" customWidth="1"/>
    <col min="13571" max="13584" width="7.28515625" style="37" customWidth="1"/>
    <col min="13585" max="13586" width="4" style="37" customWidth="1"/>
    <col min="13587" max="13587" width="75.85546875" style="37" customWidth="1"/>
    <col min="13588" max="13588" width="5.140625" style="37" customWidth="1"/>
    <col min="13589" max="13825" width="10.5703125" style="37"/>
    <col min="13826" max="13826" width="9.28515625" style="37" customWidth="1"/>
    <col min="13827" max="13840" width="7.28515625" style="37" customWidth="1"/>
    <col min="13841" max="13842" width="4" style="37" customWidth="1"/>
    <col min="13843" max="13843" width="75.85546875" style="37" customWidth="1"/>
    <col min="13844" max="13844" width="5.140625" style="37" customWidth="1"/>
    <col min="13845" max="14081" width="10.5703125" style="37"/>
    <col min="14082" max="14082" width="9.28515625" style="37" customWidth="1"/>
    <col min="14083" max="14096" width="7.28515625" style="37" customWidth="1"/>
    <col min="14097" max="14098" width="4" style="37" customWidth="1"/>
    <col min="14099" max="14099" width="75.85546875" style="37" customWidth="1"/>
    <col min="14100" max="14100" width="5.140625" style="37" customWidth="1"/>
    <col min="14101" max="14337" width="10.5703125" style="37"/>
    <col min="14338" max="14338" width="9.28515625" style="37" customWidth="1"/>
    <col min="14339" max="14352" width="7.28515625" style="37" customWidth="1"/>
    <col min="14353" max="14354" width="4" style="37" customWidth="1"/>
    <col min="14355" max="14355" width="75.85546875" style="37" customWidth="1"/>
    <col min="14356" max="14356" width="5.140625" style="37" customWidth="1"/>
    <col min="14357" max="14593" width="10.5703125" style="37"/>
    <col min="14594" max="14594" width="9.28515625" style="37" customWidth="1"/>
    <col min="14595" max="14608" width="7.28515625" style="37" customWidth="1"/>
    <col min="14609" max="14610" width="4" style="37" customWidth="1"/>
    <col min="14611" max="14611" width="75.85546875" style="37" customWidth="1"/>
    <col min="14612" max="14612" width="5.140625" style="37" customWidth="1"/>
    <col min="14613" max="14849" width="10.5703125" style="37"/>
    <col min="14850" max="14850" width="9.28515625" style="37" customWidth="1"/>
    <col min="14851" max="14864" width="7.28515625" style="37" customWidth="1"/>
    <col min="14865" max="14866" width="4" style="37" customWidth="1"/>
    <col min="14867" max="14867" width="75.85546875" style="37" customWidth="1"/>
    <col min="14868" max="14868" width="5.140625" style="37" customWidth="1"/>
    <col min="14869" max="15105" width="10.5703125" style="37"/>
    <col min="15106" max="15106" width="9.28515625" style="37" customWidth="1"/>
    <col min="15107" max="15120" width="7.28515625" style="37" customWidth="1"/>
    <col min="15121" max="15122" width="4" style="37" customWidth="1"/>
    <col min="15123" max="15123" width="75.85546875" style="37" customWidth="1"/>
    <col min="15124" max="15124" width="5.140625" style="37" customWidth="1"/>
    <col min="15125" max="15361" width="10.5703125" style="37"/>
    <col min="15362" max="15362" width="9.28515625" style="37" customWidth="1"/>
    <col min="15363" max="15376" width="7.28515625" style="37" customWidth="1"/>
    <col min="15377" max="15378" width="4" style="37" customWidth="1"/>
    <col min="15379" max="15379" width="75.85546875" style="37" customWidth="1"/>
    <col min="15380" max="15380" width="5.140625" style="37" customWidth="1"/>
    <col min="15381" max="15617" width="10.5703125" style="37"/>
    <col min="15618" max="15618" width="9.28515625" style="37" customWidth="1"/>
    <col min="15619" max="15632" width="7.28515625" style="37" customWidth="1"/>
    <col min="15633" max="15634" width="4" style="37" customWidth="1"/>
    <col min="15635" max="15635" width="75.85546875" style="37" customWidth="1"/>
    <col min="15636" max="15636" width="5.140625" style="37" customWidth="1"/>
    <col min="15637" max="15873" width="10.5703125" style="37"/>
    <col min="15874" max="15874" width="9.28515625" style="37" customWidth="1"/>
    <col min="15875" max="15888" width="7.28515625" style="37" customWidth="1"/>
    <col min="15889" max="15890" width="4" style="37" customWidth="1"/>
    <col min="15891" max="15891" width="75.85546875" style="37" customWidth="1"/>
    <col min="15892" max="15892" width="5.140625" style="37" customWidth="1"/>
    <col min="15893" max="16129" width="10.5703125" style="37"/>
    <col min="16130" max="16130" width="9.28515625" style="37" customWidth="1"/>
    <col min="16131" max="16144" width="7.28515625" style="37" customWidth="1"/>
    <col min="16145" max="16146" width="4" style="37" customWidth="1"/>
    <col min="16147" max="16147" width="75.85546875" style="37" customWidth="1"/>
    <col min="16148" max="16148" width="5.140625" style="37" customWidth="1"/>
    <col min="16149" max="16384" width="10.5703125" style="37"/>
  </cols>
  <sheetData>
    <row r="1" spans="2:21" x14ac:dyDescent="0.25">
      <c r="C1" s="1010" t="s">
        <v>532</v>
      </c>
      <c r="D1" s="1010"/>
      <c r="E1" s="1010"/>
      <c r="F1" s="1010"/>
      <c r="G1" s="1010"/>
      <c r="H1" s="1010"/>
      <c r="I1" s="1010"/>
      <c r="J1" s="1010"/>
      <c r="K1" s="1010"/>
      <c r="L1" s="1010"/>
      <c r="M1" s="1010"/>
      <c r="N1" s="1010"/>
      <c r="O1" s="321"/>
    </row>
    <row r="2" spans="2:21" ht="128.25" customHeight="1" x14ac:dyDescent="0.25">
      <c r="B2" s="324" t="s">
        <v>531</v>
      </c>
      <c r="C2" s="325" t="s">
        <v>533</v>
      </c>
      <c r="D2" s="325" t="s">
        <v>548</v>
      </c>
      <c r="E2" s="325" t="s">
        <v>553</v>
      </c>
      <c r="F2" s="325" t="s">
        <v>549</v>
      </c>
      <c r="G2" s="325" t="s">
        <v>550</v>
      </c>
      <c r="H2" s="326" t="s">
        <v>551</v>
      </c>
      <c r="I2" s="325" t="s">
        <v>552</v>
      </c>
      <c r="J2" s="325" t="s">
        <v>554</v>
      </c>
      <c r="K2" s="325" t="s">
        <v>555</v>
      </c>
      <c r="L2" s="326" t="s">
        <v>556</v>
      </c>
      <c r="M2" s="327" t="s">
        <v>557</v>
      </c>
      <c r="N2" s="325" t="s">
        <v>558</v>
      </c>
      <c r="O2" s="328" t="s">
        <v>395</v>
      </c>
      <c r="P2" s="328" t="s">
        <v>534</v>
      </c>
    </row>
    <row r="4" spans="2:21" x14ac:dyDescent="0.25">
      <c r="B4" s="329" t="str">
        <f>'[5]ADO-11'!$E$4</f>
        <v>ADO-11</v>
      </c>
      <c r="C4" s="330"/>
      <c r="D4" s="330"/>
      <c r="E4" s="330"/>
      <c r="F4" s="330"/>
      <c r="G4" s="330"/>
      <c r="H4" s="114">
        <f>'[6]ADO-11'!$E$40</f>
        <v>0</v>
      </c>
      <c r="I4" s="330"/>
      <c r="J4" s="330"/>
      <c r="K4" s="330"/>
      <c r="L4" s="114">
        <f>'[7]ADO-11'!$E$40</f>
        <v>0</v>
      </c>
      <c r="M4" s="331">
        <f>'[5]ADO-11'!$E$40</f>
        <v>0</v>
      </c>
      <c r="N4" s="330"/>
      <c r="O4" s="332">
        <f t="shared" ref="O4:O45" si="0">SUM(C4:N4)</f>
        <v>0</v>
      </c>
      <c r="P4" s="332">
        <f t="shared" ref="P4:P45" si="1">AVERAGE(C4:N4)</f>
        <v>0</v>
      </c>
      <c r="Q4" s="2"/>
      <c r="R4" s="2"/>
      <c r="S4" s="329" t="e">
        <f>'[5]ADO-11'!B8</f>
        <v>#REF!</v>
      </c>
      <c r="U4" s="333"/>
    </row>
    <row r="5" spans="2:21" x14ac:dyDescent="0.25">
      <c r="B5" s="329" t="str">
        <f>'[5]ADU-10'!$E$4</f>
        <v>ADU-10</v>
      </c>
      <c r="C5" s="330"/>
      <c r="D5" s="330"/>
      <c r="E5" s="330"/>
      <c r="F5" s="330"/>
      <c r="G5" s="330"/>
      <c r="H5" s="114">
        <f>'[6]ADU-10'!$E$40</f>
        <v>0</v>
      </c>
      <c r="I5" s="330"/>
      <c r="J5" s="330"/>
      <c r="K5" s="330"/>
      <c r="L5" s="114">
        <f>'[7]ADU-10'!$E$40</f>
        <v>0</v>
      </c>
      <c r="M5" s="331">
        <f>'[5]ADU-10'!$E$40</f>
        <v>0</v>
      </c>
      <c r="N5" s="330"/>
      <c r="O5" s="332">
        <f t="shared" si="0"/>
        <v>0</v>
      </c>
      <c r="P5" s="332">
        <f t="shared" si="1"/>
        <v>0</v>
      </c>
      <c r="Q5" s="2"/>
      <c r="R5" s="2"/>
      <c r="S5" s="329" t="e">
        <f>'[5]ADU-10'!B8</f>
        <v>#REF!</v>
      </c>
      <c r="U5" s="333"/>
    </row>
    <row r="6" spans="2:21" x14ac:dyDescent="0.25">
      <c r="B6" s="329" t="str">
        <f>'[5]ADU-32'!$E$4</f>
        <v>ADU-32</v>
      </c>
      <c r="C6" s="330"/>
      <c r="D6" s="330"/>
      <c r="E6" s="330"/>
      <c r="F6" s="330"/>
      <c r="G6" s="330"/>
      <c r="H6" s="114">
        <f>'[6]ADU-32'!$E$40</f>
        <v>15</v>
      </c>
      <c r="I6" s="330"/>
      <c r="J6" s="330"/>
      <c r="K6" s="330"/>
      <c r="L6" s="114">
        <f>'[7]ADU-32'!$E$40</f>
        <v>14</v>
      </c>
      <c r="M6" s="331">
        <f>'[5]ADU-32'!$E$40</f>
        <v>10</v>
      </c>
      <c r="N6" s="330"/>
      <c r="O6" s="332">
        <f t="shared" si="0"/>
        <v>39</v>
      </c>
      <c r="P6" s="332">
        <f t="shared" si="1"/>
        <v>13</v>
      </c>
      <c r="S6" s="329" t="str">
        <f>'[5]ADU-32'!B8</f>
        <v>Remplacement de 6 véhicules de service par des voitures électriques</v>
      </c>
      <c r="U6" s="333" t="s">
        <v>623</v>
      </c>
    </row>
    <row r="7" spans="2:21" x14ac:dyDescent="0.25">
      <c r="B7" s="329" t="str">
        <f>'[5]ADO-8'!$E$4</f>
        <v>ADO-8</v>
      </c>
      <c r="C7" s="330"/>
      <c r="D7" s="330"/>
      <c r="E7" s="330"/>
      <c r="F7" s="330"/>
      <c r="G7" s="330"/>
      <c r="H7" s="114">
        <f>'[6]ADO-8'!$E$40</f>
        <v>13</v>
      </c>
      <c r="I7" s="330"/>
      <c r="J7" s="330"/>
      <c r="K7" s="330"/>
      <c r="L7" s="114">
        <f>'[7]ADO-8'!$E$40</f>
        <v>14</v>
      </c>
      <c r="M7" s="331">
        <f>'[5]ADO-8'!$E$40</f>
        <v>15</v>
      </c>
      <c r="N7" s="330"/>
      <c r="O7" s="332">
        <f t="shared" si="0"/>
        <v>42</v>
      </c>
      <c r="P7" s="332">
        <f t="shared" si="1"/>
        <v>14</v>
      </c>
      <c r="S7" s="329" t="str">
        <f>'[5]ADO-8'!B8</f>
        <v>Informations spécifiques aux agriculteurs</v>
      </c>
      <c r="U7" s="333"/>
    </row>
    <row r="8" spans="2:21" x14ac:dyDescent="0.25">
      <c r="B8" s="329" t="str">
        <f>'[5]ADU-14'!$E$4</f>
        <v>ADU-14</v>
      </c>
      <c r="C8" s="330"/>
      <c r="D8" s="330"/>
      <c r="E8" s="330"/>
      <c r="F8" s="330"/>
      <c r="G8" s="330"/>
      <c r="H8" s="114">
        <f>'[6]ADU-14'!$E$40</f>
        <v>12</v>
      </c>
      <c r="I8" s="330"/>
      <c r="J8" s="330"/>
      <c r="K8" s="330"/>
      <c r="L8" s="114">
        <f>'[7]ADU-14'!$E$40</f>
        <v>19</v>
      </c>
      <c r="M8" s="331">
        <f>'[5]ADU-14'!$E$40</f>
        <v>11</v>
      </c>
      <c r="N8" s="330"/>
      <c r="O8" s="332">
        <f t="shared" si="0"/>
        <v>42</v>
      </c>
      <c r="P8" s="332">
        <f t="shared" si="1"/>
        <v>14</v>
      </c>
      <c r="S8" s="329" t="str">
        <f>'[5]ADU-14'!B8</f>
        <v>Chaudières à condensation</v>
      </c>
      <c r="U8" s="333">
        <v>50</v>
      </c>
    </row>
    <row r="9" spans="2:21" x14ac:dyDescent="0.25">
      <c r="B9" s="329" t="str">
        <f>'[5]ADU-34'!$E$4</f>
        <v>ADU-34</v>
      </c>
      <c r="C9" s="330"/>
      <c r="D9" s="330"/>
      <c r="E9" s="330"/>
      <c r="F9" s="330"/>
      <c r="G9" s="330"/>
      <c r="H9" s="114">
        <f>'[6]ADU-34'!$E$40</f>
        <v>17</v>
      </c>
      <c r="I9" s="330"/>
      <c r="J9" s="330"/>
      <c r="K9" s="330"/>
      <c r="L9" s="114">
        <f>'[7]ADU-34'!$E$40</f>
        <v>17</v>
      </c>
      <c r="M9" s="331">
        <f>'[5]ADU-34'!$E$40</f>
        <v>10</v>
      </c>
      <c r="N9" s="330"/>
      <c r="O9" s="332">
        <f t="shared" si="0"/>
        <v>44</v>
      </c>
      <c r="P9" s="332">
        <f t="shared" si="1"/>
        <v>14.666666666666666</v>
      </c>
      <c r="S9" s="329" t="str">
        <f>'[5]ADU-34'!B8</f>
        <v>Borne de recharge</v>
      </c>
      <c r="U9" s="333" t="s">
        <v>624</v>
      </c>
    </row>
    <row r="10" spans="2:21" x14ac:dyDescent="0.25">
      <c r="B10" s="329" t="str">
        <f>'[5]ADU-33'!$E$4</f>
        <v>ADU-33</v>
      </c>
      <c r="C10" s="330"/>
      <c r="D10" s="330"/>
      <c r="E10" s="330"/>
      <c r="F10" s="330"/>
      <c r="G10" s="330"/>
      <c r="H10" s="114">
        <f>'[6]ADU-33'!$E$40</f>
        <v>16</v>
      </c>
      <c r="I10" s="330"/>
      <c r="J10" s="330"/>
      <c r="K10" s="330"/>
      <c r="L10" s="114">
        <f>'[7]ADU-33'!$E$40</f>
        <v>17</v>
      </c>
      <c r="M10" s="331">
        <f>'[5]ADU-33'!$E$40</f>
        <v>12</v>
      </c>
      <c r="N10" s="330"/>
      <c r="O10" s="332">
        <f t="shared" si="0"/>
        <v>45</v>
      </c>
      <c r="P10" s="332">
        <f t="shared" si="1"/>
        <v>15</v>
      </c>
      <c r="S10" s="329" t="str">
        <f>'[5]ADU-33'!B8</f>
        <v>Remplacement de 240 véhicules privés par des voitures électriques</v>
      </c>
      <c r="U10" s="333" t="s">
        <v>625</v>
      </c>
    </row>
    <row r="11" spans="2:21" s="2" customFormat="1" x14ac:dyDescent="0.25">
      <c r="B11" s="329" t="str">
        <f>'[5]ADO-3'!$E$4</f>
        <v>ADO-3</v>
      </c>
      <c r="C11" s="330"/>
      <c r="D11" s="330"/>
      <c r="E11" s="330"/>
      <c r="F11" s="330"/>
      <c r="G11" s="330"/>
      <c r="H11" s="114">
        <f>'[6]ADO-3'!$E$40</f>
        <v>16</v>
      </c>
      <c r="I11" s="330"/>
      <c r="J11" s="330"/>
      <c r="K11" s="330"/>
      <c r="L11" s="114">
        <f>'[7]ADO-3'!$E$40</f>
        <v>18</v>
      </c>
      <c r="M11" s="331">
        <f>'[5]ADO-3'!$E$40</f>
        <v>13</v>
      </c>
      <c r="N11" s="330"/>
      <c r="O11" s="332">
        <f t="shared" si="0"/>
        <v>47</v>
      </c>
      <c r="P11" s="332">
        <f t="shared" si="1"/>
        <v>15.666666666666666</v>
      </c>
      <c r="Q11" s="37"/>
      <c r="R11" s="37"/>
      <c r="S11" s="329" t="str">
        <f>'[5]ADO-3'!B8</f>
        <v>Formation Eco Guide - Energie</v>
      </c>
      <c r="U11" s="333" t="s">
        <v>626</v>
      </c>
    </row>
    <row r="12" spans="2:21" s="2" customFormat="1" x14ac:dyDescent="0.25">
      <c r="B12" s="329" t="str">
        <f>'[5]ADU-24'!$E$4</f>
        <v>ADU-24</v>
      </c>
      <c r="C12" s="330"/>
      <c r="D12" s="330"/>
      <c r="E12" s="330"/>
      <c r="F12" s="330"/>
      <c r="G12" s="330"/>
      <c r="H12" s="114">
        <f>'[6]ADU-24'!$E$40</f>
        <v>16</v>
      </c>
      <c r="I12" s="330"/>
      <c r="J12" s="330"/>
      <c r="K12" s="330"/>
      <c r="L12" s="114">
        <f>'[7]ADU-24'!$E$40</f>
        <v>19</v>
      </c>
      <c r="M12" s="331">
        <f>'[5]ADU-24'!$E$40</f>
        <v>12</v>
      </c>
      <c r="N12" s="330"/>
      <c r="O12" s="332">
        <f t="shared" si="0"/>
        <v>47</v>
      </c>
      <c r="P12" s="332">
        <f t="shared" si="1"/>
        <v>15.666666666666666</v>
      </c>
      <c r="Q12" s="37"/>
      <c r="R12" s="37"/>
      <c r="S12" s="329" t="str">
        <f>'[5]ADU-24'!B8</f>
        <v>Biogaz sur cultures dédiées</v>
      </c>
      <c r="U12" s="333" t="s">
        <v>623</v>
      </c>
    </row>
    <row r="13" spans="2:21" s="2" customFormat="1" x14ac:dyDescent="0.25">
      <c r="B13" s="329" t="str">
        <f>'[5]ADU-110'!$E$4</f>
        <v>ADU-110</v>
      </c>
      <c r="C13" s="330"/>
      <c r="D13" s="330"/>
      <c r="E13" s="330"/>
      <c r="F13" s="330"/>
      <c r="G13" s="330"/>
      <c r="H13" s="114">
        <f>'[6]ADU-110'!$E$40</f>
        <v>16</v>
      </c>
      <c r="I13" s="330"/>
      <c r="J13" s="330"/>
      <c r="K13" s="330"/>
      <c r="L13" s="114">
        <f>'[7]ADU-110'!$E$40</f>
        <v>17</v>
      </c>
      <c r="M13" s="331">
        <f>'[5]ADU-110'!$E$40</f>
        <v>15</v>
      </c>
      <c r="N13" s="330"/>
      <c r="O13" s="332">
        <f t="shared" si="0"/>
        <v>48</v>
      </c>
      <c r="P13" s="332">
        <f t="shared" si="1"/>
        <v>16</v>
      </c>
      <c r="S13" s="329" t="str">
        <f>'[5]ADU-110'!B8</f>
        <v>Rénovation - isolation de logements privés - Sols</v>
      </c>
      <c r="U13" s="333" t="s">
        <v>627</v>
      </c>
    </row>
    <row r="14" spans="2:21" s="2" customFormat="1" x14ac:dyDescent="0.25">
      <c r="B14" s="329" t="str">
        <f>'[5]ADU-113'!$E$4</f>
        <v>ADU-113</v>
      </c>
      <c r="C14" s="330"/>
      <c r="D14" s="330"/>
      <c r="E14" s="330"/>
      <c r="F14" s="330"/>
      <c r="G14" s="330"/>
      <c r="H14" s="114">
        <f>'[6]ADU-113'!$E$40</f>
        <v>12</v>
      </c>
      <c r="I14" s="330"/>
      <c r="J14" s="330"/>
      <c r="K14" s="330"/>
      <c r="L14" s="114">
        <f>'[7]ADU-113'!$E$40</f>
        <v>19</v>
      </c>
      <c r="M14" s="331">
        <f>'[5]ADU-113'!$E$40</f>
        <v>17</v>
      </c>
      <c r="N14" s="330"/>
      <c r="O14" s="332">
        <f t="shared" si="0"/>
        <v>48</v>
      </c>
      <c r="P14" s="332">
        <f t="shared" si="1"/>
        <v>16</v>
      </c>
      <c r="S14" s="329" t="str">
        <f>'[5]ADU-113'!B8</f>
        <v>Rénovation - isolation de logements privés - vitrages</v>
      </c>
      <c r="U14" s="333" t="s">
        <v>627</v>
      </c>
    </row>
    <row r="15" spans="2:21" s="2" customFormat="1" x14ac:dyDescent="0.25">
      <c r="B15" s="329" t="str">
        <f>'[5]ADU-16'!$E$4</f>
        <v>ADU-16</v>
      </c>
      <c r="C15" s="330"/>
      <c r="D15" s="330"/>
      <c r="E15" s="330"/>
      <c r="F15" s="330"/>
      <c r="G15" s="330"/>
      <c r="H15" s="114">
        <f>'[6]ADU-16'!$E$40</f>
        <v>10</v>
      </c>
      <c r="I15" s="330"/>
      <c r="J15" s="330"/>
      <c r="K15" s="330"/>
      <c r="L15" s="114">
        <f>'[7]ADU-16'!$E$40</f>
        <v>19</v>
      </c>
      <c r="M15" s="331">
        <f>'[5]ADU-16'!$E$40</f>
        <v>19</v>
      </c>
      <c r="N15" s="330"/>
      <c r="O15" s="332">
        <f t="shared" si="0"/>
        <v>48</v>
      </c>
      <c r="P15" s="332">
        <f t="shared" si="1"/>
        <v>16</v>
      </c>
      <c r="Q15" s="37"/>
      <c r="R15" s="37"/>
      <c r="S15" s="329" t="str">
        <f>'[5]ADU-16'!B8</f>
        <v>Installations photovoltaïques</v>
      </c>
      <c r="U15" s="333" t="s">
        <v>628</v>
      </c>
    </row>
    <row r="16" spans="2:21" s="2" customFormat="1" x14ac:dyDescent="0.25">
      <c r="B16" s="329" t="str">
        <f>'[5]ADO-9'!$E$4</f>
        <v>ADO-9</v>
      </c>
      <c r="C16" s="330"/>
      <c r="D16" s="330"/>
      <c r="E16" s="330"/>
      <c r="F16" s="330"/>
      <c r="G16" s="330"/>
      <c r="H16" s="114">
        <f>'[6]ADO-9'!$E$40</f>
        <v>19</v>
      </c>
      <c r="I16" s="330"/>
      <c r="J16" s="330"/>
      <c r="K16" s="330"/>
      <c r="L16" s="114">
        <f>'[7]ADO-9'!$E$40</f>
        <v>14</v>
      </c>
      <c r="M16" s="331">
        <f>'[5]ADO-9'!$E$40</f>
        <v>16</v>
      </c>
      <c r="N16" s="330"/>
      <c r="O16" s="332">
        <f t="shared" si="0"/>
        <v>49</v>
      </c>
      <c r="P16" s="332">
        <f t="shared" si="1"/>
        <v>16.333333333333332</v>
      </c>
      <c r="Q16" s="37"/>
      <c r="R16" s="37"/>
      <c r="S16" s="329" t="str">
        <f>'[5]ADO-9'!B8</f>
        <v>Information aux entreprises</v>
      </c>
      <c r="U16" s="333" t="s">
        <v>629</v>
      </c>
    </row>
    <row r="17" spans="2:21" s="2" customFormat="1" x14ac:dyDescent="0.25">
      <c r="B17" s="329" t="str">
        <f>'[5]ADU-26'!$E$4</f>
        <v>ADU-26</v>
      </c>
      <c r="C17" s="330"/>
      <c r="D17" s="330"/>
      <c r="E17" s="330"/>
      <c r="F17" s="330"/>
      <c r="G17" s="330"/>
      <c r="H17" s="114">
        <f>'[6]ADU-26'!$E$40</f>
        <v>17</v>
      </c>
      <c r="I17" s="330"/>
      <c r="J17" s="330"/>
      <c r="K17" s="330"/>
      <c r="L17" s="114">
        <f>'[7]ADU-26'!$E$40</f>
        <v>16</v>
      </c>
      <c r="M17" s="331">
        <f>'[5]ADU-26'!$E$40</f>
        <v>18</v>
      </c>
      <c r="N17" s="330"/>
      <c r="O17" s="332">
        <f t="shared" si="0"/>
        <v>51</v>
      </c>
      <c r="P17" s="332">
        <f t="shared" si="1"/>
        <v>17</v>
      </c>
      <c r="Q17" s="37"/>
      <c r="R17" s="37"/>
      <c r="S17" s="329" t="str">
        <f>'[5]ADU-26'!B8</f>
        <v>Réduction des consommations des processus de fabrication</v>
      </c>
      <c r="U17" s="333" t="s">
        <v>630</v>
      </c>
    </row>
    <row r="18" spans="2:21" x14ac:dyDescent="0.25">
      <c r="B18" s="329" t="str">
        <f>'[5]ADO-2'!$E$4</f>
        <v>ADO-2</v>
      </c>
      <c r="C18" s="330"/>
      <c r="D18" s="330"/>
      <c r="E18" s="330"/>
      <c r="F18" s="330"/>
      <c r="G18" s="330"/>
      <c r="H18" s="114">
        <f>'[6]ADO-2'!$E$40</f>
        <v>17</v>
      </c>
      <c r="I18" s="330"/>
      <c r="J18" s="330"/>
      <c r="K18" s="330"/>
      <c r="L18" s="114">
        <f>'[7]ADO-2'!$E$40</f>
        <v>19</v>
      </c>
      <c r="M18" s="331">
        <f>'[5]ADO-2'!$E$40</f>
        <v>16</v>
      </c>
      <c r="N18" s="330"/>
      <c r="O18" s="332">
        <f t="shared" si="0"/>
        <v>52</v>
      </c>
      <c r="P18" s="332">
        <f t="shared" si="1"/>
        <v>17.333333333333332</v>
      </c>
      <c r="S18" s="329" t="str">
        <f>'[5]ADO-2'!B8</f>
        <v>Information isolation</v>
      </c>
      <c r="U18" s="333" t="s">
        <v>626</v>
      </c>
    </row>
    <row r="19" spans="2:21" x14ac:dyDescent="0.25">
      <c r="B19" s="329" t="str">
        <f>'[5]ADO-7'!$E$4</f>
        <v>ADO-7</v>
      </c>
      <c r="C19" s="330"/>
      <c r="D19" s="330"/>
      <c r="E19" s="330"/>
      <c r="F19" s="330"/>
      <c r="G19" s="330"/>
      <c r="H19" s="114">
        <f>'[6]ADO-7'!$E$40</f>
        <v>16</v>
      </c>
      <c r="I19" s="330"/>
      <c r="J19" s="330"/>
      <c r="K19" s="330"/>
      <c r="L19" s="114">
        <f>'[7]ADO-7'!$E$40</f>
        <v>19</v>
      </c>
      <c r="M19" s="331">
        <f>'[5]ADO-7'!$E$40</f>
        <v>17</v>
      </c>
      <c r="N19" s="330"/>
      <c r="O19" s="332">
        <f t="shared" si="0"/>
        <v>52</v>
      </c>
      <c r="P19" s="332">
        <f t="shared" si="1"/>
        <v>17.333333333333332</v>
      </c>
      <c r="S19" s="329" t="str">
        <f>'[5]ADO-7'!B8</f>
        <v>Sensibilisation du grand public aux URE - électricité</v>
      </c>
      <c r="U19" s="333" t="s">
        <v>631</v>
      </c>
    </row>
    <row r="20" spans="2:21" x14ac:dyDescent="0.25">
      <c r="B20" s="329" t="str">
        <f>'[5]ADU-112'!$E$4</f>
        <v>ADU-112</v>
      </c>
      <c r="C20" s="330"/>
      <c r="D20" s="330"/>
      <c r="E20" s="330"/>
      <c r="F20" s="330"/>
      <c r="G20" s="330"/>
      <c r="H20" s="114">
        <f>'[6]ADU-112'!$E$40</f>
        <v>16</v>
      </c>
      <c r="I20" s="330"/>
      <c r="J20" s="330"/>
      <c r="K20" s="330"/>
      <c r="L20" s="114">
        <f>'[7]ADU-112'!$E$40</f>
        <v>20</v>
      </c>
      <c r="M20" s="331">
        <f>'[5]ADU-112'!$E$40</f>
        <v>16</v>
      </c>
      <c r="N20" s="330"/>
      <c r="O20" s="332">
        <f t="shared" si="0"/>
        <v>52</v>
      </c>
      <c r="P20" s="332">
        <f t="shared" si="1"/>
        <v>17.333333333333332</v>
      </c>
      <c r="Q20" s="2"/>
      <c r="R20" s="2"/>
      <c r="S20" s="329" t="str">
        <f>'[5]ADU-112'!B8</f>
        <v>Rénovation - isolation de logements privés - Murs extérieurs</v>
      </c>
      <c r="U20" s="333" t="s">
        <v>632</v>
      </c>
    </row>
    <row r="21" spans="2:21" x14ac:dyDescent="0.25">
      <c r="B21" s="329" t="str">
        <f>'[5]ADU-15'!$E$4</f>
        <v>ADU-15</v>
      </c>
      <c r="C21" s="330"/>
      <c r="D21" s="330"/>
      <c r="E21" s="330"/>
      <c r="F21" s="330"/>
      <c r="G21" s="330"/>
      <c r="H21" s="114">
        <f>'[6]ADU-15'!$E$40</f>
        <v>9</v>
      </c>
      <c r="I21" s="330"/>
      <c r="J21" s="330"/>
      <c r="K21" s="330"/>
      <c r="L21" s="114">
        <f>'[7]ADU-15'!$E$40</f>
        <v>24</v>
      </c>
      <c r="M21" s="331">
        <f>'[5]ADU-15'!$E$40</f>
        <v>19</v>
      </c>
      <c r="N21" s="330"/>
      <c r="O21" s="332">
        <f t="shared" si="0"/>
        <v>52</v>
      </c>
      <c r="P21" s="332">
        <f t="shared" si="1"/>
        <v>17.333333333333332</v>
      </c>
      <c r="S21" s="329" t="str">
        <f>'[5]ADU-15'!B8</f>
        <v>Changement de vecteur énergétique pour le chauffage</v>
      </c>
      <c r="U21" s="333" t="s">
        <v>633</v>
      </c>
    </row>
    <row r="22" spans="2:21" x14ac:dyDescent="0.25">
      <c r="B22" s="329" t="str">
        <f>'[5]ADU-19'!$E$4</f>
        <v>ADU-19</v>
      </c>
      <c r="C22" s="330"/>
      <c r="D22" s="330"/>
      <c r="E22" s="330"/>
      <c r="F22" s="330"/>
      <c r="G22" s="330"/>
      <c r="H22" s="114">
        <f>'[6]ADU-19'!$E$40</f>
        <v>17</v>
      </c>
      <c r="I22" s="330"/>
      <c r="J22" s="330"/>
      <c r="K22" s="330"/>
      <c r="L22" s="114">
        <f>'[7]ADU-19'!$E$40</f>
        <v>19</v>
      </c>
      <c r="M22" s="331">
        <f>'[5]ADU-19'!$E$40</f>
        <v>17</v>
      </c>
      <c r="N22" s="330"/>
      <c r="O22" s="332">
        <f t="shared" si="0"/>
        <v>53</v>
      </c>
      <c r="P22" s="332">
        <f t="shared" si="1"/>
        <v>17.666666666666668</v>
      </c>
      <c r="S22" s="329" t="str">
        <f>'[5]ADU-19'!B8</f>
        <v>Installations photovoltaïques pour les bâtiments agricoles</v>
      </c>
      <c r="U22" s="333" t="s">
        <v>634</v>
      </c>
    </row>
    <row r="23" spans="2:21" x14ac:dyDescent="0.25">
      <c r="B23" s="329" t="str">
        <f>'[5]ADU-20'!$E$4</f>
        <v>ADU-20</v>
      </c>
      <c r="C23" s="330"/>
      <c r="D23" s="330"/>
      <c r="E23" s="330"/>
      <c r="F23" s="330"/>
      <c r="G23" s="330"/>
      <c r="H23" s="114">
        <f>'[6]ADU-20'!$E$40</f>
        <v>15</v>
      </c>
      <c r="I23" s="330"/>
      <c r="J23" s="330"/>
      <c r="K23" s="330"/>
      <c r="L23" s="114">
        <f>'[7]ADU-20'!$E$40</f>
        <v>21</v>
      </c>
      <c r="M23" s="331">
        <f>'[5]ADU-20'!$E$40</f>
        <v>17</v>
      </c>
      <c r="N23" s="330"/>
      <c r="O23" s="332">
        <f t="shared" si="0"/>
        <v>53</v>
      </c>
      <c r="P23" s="332">
        <f t="shared" si="1"/>
        <v>17.666666666666668</v>
      </c>
      <c r="S23" s="329" t="str">
        <f>'[5]ADU-20'!B8</f>
        <v>Installations photovoltaïques pour les bâtiments tertiaires</v>
      </c>
      <c r="U23" s="333" t="s">
        <v>626</v>
      </c>
    </row>
    <row r="24" spans="2:21" x14ac:dyDescent="0.25">
      <c r="B24" s="329" t="str">
        <f>'[5]ADU-23'!$E$4</f>
        <v>ADU-23</v>
      </c>
      <c r="C24" s="330"/>
      <c r="D24" s="330"/>
      <c r="E24" s="330"/>
      <c r="F24" s="330"/>
      <c r="G24" s="330"/>
      <c r="H24" s="114">
        <f>'[6]ADU-23'!$E$40</f>
        <v>15</v>
      </c>
      <c r="I24" s="330"/>
      <c r="J24" s="330"/>
      <c r="K24" s="330"/>
      <c r="L24" s="114">
        <f>'[7]ADU-23'!$E$40</f>
        <v>21</v>
      </c>
      <c r="M24" s="331">
        <f>'[5]ADU-23'!$E$40</f>
        <v>17</v>
      </c>
      <c r="N24" s="330"/>
      <c r="O24" s="332">
        <f t="shared" si="0"/>
        <v>53</v>
      </c>
      <c r="P24" s="332">
        <f t="shared" si="1"/>
        <v>17.666666666666668</v>
      </c>
      <c r="S24" s="329" t="str">
        <f>'[5]ADU-23'!B8</f>
        <v xml:space="preserve">Installation d'une centrale de production de biogaz </v>
      </c>
      <c r="U24" s="333" t="s">
        <v>635</v>
      </c>
    </row>
    <row r="25" spans="2:21" x14ac:dyDescent="0.25">
      <c r="B25" s="329" t="str">
        <f>'[5]ADU-25'!$E$4</f>
        <v>ADU-25</v>
      </c>
      <c r="C25" s="330"/>
      <c r="D25" s="330"/>
      <c r="E25" s="330"/>
      <c r="F25" s="330"/>
      <c r="G25" s="330"/>
      <c r="H25" s="114">
        <f>'[6]ADU-25'!$E$40</f>
        <v>18</v>
      </c>
      <c r="I25" s="330"/>
      <c r="J25" s="330"/>
      <c r="K25" s="330"/>
      <c r="L25" s="114">
        <f>'[7]ADU-25'!$E$40</f>
        <v>17</v>
      </c>
      <c r="M25" s="331">
        <f>'[5]ADU-25'!$E$40</f>
        <v>18</v>
      </c>
      <c r="N25" s="330"/>
      <c r="O25" s="332">
        <f t="shared" si="0"/>
        <v>53</v>
      </c>
      <c r="P25" s="332">
        <f t="shared" si="1"/>
        <v>17.666666666666668</v>
      </c>
      <c r="S25" s="329" t="str">
        <f>'[5]ADU-25'!B8</f>
        <v>Diagnostics énergétiques d'exploitations agricoles</v>
      </c>
      <c r="U25" s="333" t="s">
        <v>636</v>
      </c>
    </row>
    <row r="26" spans="2:21" x14ac:dyDescent="0.25">
      <c r="B26" s="329" t="str">
        <f>'[5]ADO-6'!$E$4</f>
        <v>ADO-6</v>
      </c>
      <c r="C26" s="330"/>
      <c r="D26" s="330"/>
      <c r="E26" s="330"/>
      <c r="F26" s="330"/>
      <c r="G26" s="330"/>
      <c r="H26" s="114">
        <f>'[6]ADO-6'!$E$40</f>
        <v>15</v>
      </c>
      <c r="I26" s="330"/>
      <c r="J26" s="330"/>
      <c r="K26" s="330"/>
      <c r="L26" s="114">
        <f>'[7]ADO-6'!$E$40</f>
        <v>22</v>
      </c>
      <c r="M26" s="331">
        <f>'[5]ADO-6'!$E$40</f>
        <v>17</v>
      </c>
      <c r="N26" s="330"/>
      <c r="O26" s="332">
        <f t="shared" si="0"/>
        <v>54</v>
      </c>
      <c r="P26" s="332">
        <f t="shared" si="1"/>
        <v>18</v>
      </c>
      <c r="S26" s="329" t="str">
        <f>'[5]ADO-6'!B8</f>
        <v>Sensibilisation du grand public aux URE - chaleur</v>
      </c>
      <c r="U26" s="333" t="s">
        <v>631</v>
      </c>
    </row>
    <row r="27" spans="2:21" x14ac:dyDescent="0.25">
      <c r="B27" s="329" t="str">
        <f>'[5]ADU-28'!$E$4</f>
        <v>ADU-28</v>
      </c>
      <c r="C27" s="330"/>
      <c r="D27" s="330"/>
      <c r="E27" s="330"/>
      <c r="F27" s="330"/>
      <c r="G27" s="330"/>
      <c r="H27" s="114">
        <f>'[6]ADU-28'!$E$40</f>
        <v>20</v>
      </c>
      <c r="I27" s="330"/>
      <c r="J27" s="330"/>
      <c r="K27" s="330"/>
      <c r="L27" s="114">
        <f>'[7]ADU-28'!$E$40</f>
        <v>17</v>
      </c>
      <c r="M27" s="331">
        <f>'[5]ADU-28'!$E$40</f>
        <v>17</v>
      </c>
      <c r="N27" s="330"/>
      <c r="O27" s="332">
        <f t="shared" si="0"/>
        <v>54</v>
      </c>
      <c r="P27" s="332">
        <f t="shared" si="1"/>
        <v>18</v>
      </c>
      <c r="S27" s="329" t="str">
        <f>'[5]ADU-28'!B8</f>
        <v xml:space="preserve">Installation "individuelle de production de biogaz </v>
      </c>
      <c r="U27" s="333" t="s">
        <v>637</v>
      </c>
    </row>
    <row r="28" spans="2:21" x14ac:dyDescent="0.25">
      <c r="B28" s="329" t="str">
        <f>'[5]ADU-30'!$E$4</f>
        <v>ADU-30</v>
      </c>
      <c r="C28" s="330"/>
      <c r="D28" s="330"/>
      <c r="E28" s="330"/>
      <c r="F28" s="330"/>
      <c r="G28" s="330"/>
      <c r="H28" s="114">
        <f>'[6]ADU-30'!$E$40</f>
        <v>22</v>
      </c>
      <c r="I28" s="330"/>
      <c r="J28" s="330"/>
      <c r="K28" s="330"/>
      <c r="L28" s="114">
        <f>'[7]ADU-30'!$E$40</f>
        <v>19</v>
      </c>
      <c r="M28" s="331">
        <f>'[5]ADU-30'!$E$40</f>
        <v>14</v>
      </c>
      <c r="N28" s="330"/>
      <c r="O28" s="332">
        <f t="shared" si="0"/>
        <v>55</v>
      </c>
      <c r="P28" s="332">
        <f t="shared" si="1"/>
        <v>18.333333333333332</v>
      </c>
      <c r="S28" s="329" t="str">
        <f>'[5]ADU-30'!B8</f>
        <v>Formation à l'éco-conduite</v>
      </c>
      <c r="U28" s="333" t="s">
        <v>638</v>
      </c>
    </row>
    <row r="29" spans="2:21" x14ac:dyDescent="0.25">
      <c r="B29" s="329" t="str">
        <f>'[5]ADU-111'!$E$4</f>
        <v>ADU-111</v>
      </c>
      <c r="C29" s="330"/>
      <c r="D29" s="330"/>
      <c r="E29" s="330"/>
      <c r="F29" s="330"/>
      <c r="G29" s="330"/>
      <c r="H29" s="114">
        <f>'[6]ADU-111'!$E$40</f>
        <v>17</v>
      </c>
      <c r="I29" s="330"/>
      <c r="J29" s="330"/>
      <c r="K29" s="330"/>
      <c r="L29" s="114">
        <f>'[7]ADU-111'!$E$40</f>
        <v>22</v>
      </c>
      <c r="M29" s="331">
        <f>'[5]ADU-111'!$E$40</f>
        <v>17</v>
      </c>
      <c r="N29" s="330"/>
      <c r="O29" s="332">
        <f t="shared" si="0"/>
        <v>56</v>
      </c>
      <c r="P29" s="332">
        <f t="shared" si="1"/>
        <v>18.666666666666668</v>
      </c>
      <c r="Q29" s="2"/>
      <c r="R29" s="2"/>
      <c r="S29" s="329" t="str">
        <f>'[5]ADU-111'!B8</f>
        <v>Rénovation - isolation de logements privés - Toitures</v>
      </c>
      <c r="U29" s="333" t="s">
        <v>639</v>
      </c>
    </row>
    <row r="30" spans="2:21" x14ac:dyDescent="0.25">
      <c r="B30" s="329" t="str">
        <f>'[5]ADU-27'!$E$4</f>
        <v>ADU-27</v>
      </c>
      <c r="C30" s="330"/>
      <c r="D30" s="330"/>
      <c r="E30" s="330"/>
      <c r="F30" s="330"/>
      <c r="G30" s="330"/>
      <c r="H30" s="114">
        <f>'[6]ADU-27'!$E$40</f>
        <v>11</v>
      </c>
      <c r="I30" s="330"/>
      <c r="J30" s="330"/>
      <c r="K30" s="330"/>
      <c r="L30" s="114">
        <f>'[7]ADU-27'!$E$40</f>
        <v>20</v>
      </c>
      <c r="M30" s="331">
        <f>'[5]ADU-27'!$E$40</f>
        <v>25</v>
      </c>
      <c r="N30" s="330"/>
      <c r="O30" s="332">
        <f t="shared" si="0"/>
        <v>56</v>
      </c>
      <c r="P30" s="332">
        <f t="shared" si="1"/>
        <v>18.666666666666668</v>
      </c>
      <c r="S30" s="329" t="str">
        <f>'[5]ADU-27'!B8</f>
        <v xml:space="preserve"> Chauffage d'appoint et changement de vecteur énergétique </v>
      </c>
      <c r="U30" s="333" t="s">
        <v>640</v>
      </c>
    </row>
    <row r="31" spans="2:21" x14ac:dyDescent="0.25">
      <c r="B31" s="329" t="str">
        <f>'[5]ADU-17'!$E$4</f>
        <v>ADU-17</v>
      </c>
      <c r="C31" s="330"/>
      <c r="D31" s="330"/>
      <c r="E31" s="330"/>
      <c r="F31" s="330"/>
      <c r="G31" s="330"/>
      <c r="H31" s="114">
        <f>'[6]ADU-17'!$E$40</f>
        <v>16</v>
      </c>
      <c r="I31" s="330"/>
      <c r="J31" s="330"/>
      <c r="K31" s="330"/>
      <c r="L31" s="114">
        <f>'[7]ADU-17'!$E$40</f>
        <v>19</v>
      </c>
      <c r="M31" s="331">
        <f>'[5]ADU-17'!$E$40</f>
        <v>22</v>
      </c>
      <c r="N31" s="330"/>
      <c r="O31" s="332">
        <f t="shared" si="0"/>
        <v>57</v>
      </c>
      <c r="P31" s="332">
        <f t="shared" si="1"/>
        <v>19</v>
      </c>
      <c r="S31" s="329" t="str">
        <f>'[5]ADU-17'!B8</f>
        <v>Installations photovoltaïques pour les bâtiments communaux</v>
      </c>
      <c r="U31" s="333" t="s">
        <v>641</v>
      </c>
    </row>
    <row r="32" spans="2:21" x14ac:dyDescent="0.25">
      <c r="B32" s="329" t="str">
        <f>'[5]ADU-21'!$E$4</f>
        <v>ADU-21</v>
      </c>
      <c r="C32" s="330"/>
      <c r="D32" s="330"/>
      <c r="E32" s="330"/>
      <c r="F32" s="330"/>
      <c r="G32" s="330"/>
      <c r="H32" s="114">
        <f>'[6]ADU-21'!$E$40</f>
        <v>15</v>
      </c>
      <c r="I32" s="330"/>
      <c r="J32" s="330"/>
      <c r="K32" s="330"/>
      <c r="L32" s="114">
        <f>'[7]ADU-21'!$E$40</f>
        <v>24</v>
      </c>
      <c r="M32" s="331">
        <f>'[5]ADU-21'!$E$40</f>
        <v>18</v>
      </c>
      <c r="N32" s="330"/>
      <c r="O32" s="332">
        <f t="shared" si="0"/>
        <v>57</v>
      </c>
      <c r="P32" s="332">
        <f t="shared" si="1"/>
        <v>19</v>
      </c>
      <c r="S32" s="329" t="str">
        <f>'[5]ADU-21'!B8</f>
        <v>Installation d'un parc de 40 éoliennes de 0,2 MW</v>
      </c>
      <c r="U32" s="333" t="s">
        <v>642</v>
      </c>
    </row>
    <row r="33" spans="2:21" x14ac:dyDescent="0.25">
      <c r="B33" s="329" t="str">
        <f>'[5]ADU-22'!$E$4</f>
        <v>ADU-22</v>
      </c>
      <c r="C33" s="330"/>
      <c r="D33" s="330"/>
      <c r="E33" s="330"/>
      <c r="F33" s="330"/>
      <c r="G33" s="330"/>
      <c r="H33" s="114">
        <f>'[6]ADU-22'!$E$40</f>
        <v>18</v>
      </c>
      <c r="I33" s="330"/>
      <c r="J33" s="330"/>
      <c r="K33" s="330"/>
      <c r="L33" s="114">
        <f>'[7]ADU-22'!$E$40</f>
        <v>20</v>
      </c>
      <c r="M33" s="331">
        <f>'[5]ADU-22'!$E$40</f>
        <v>19</v>
      </c>
      <c r="N33" s="330"/>
      <c r="O33" s="332">
        <f t="shared" si="0"/>
        <v>57</v>
      </c>
      <c r="P33" s="332">
        <f t="shared" si="1"/>
        <v>19</v>
      </c>
      <c r="S33" s="329" t="str">
        <f>'[5]ADU-22'!B8</f>
        <v xml:space="preserve">Installation solaires thermiques </v>
      </c>
      <c r="U33" s="333" t="s">
        <v>643</v>
      </c>
    </row>
    <row r="34" spans="2:21" x14ac:dyDescent="0.25">
      <c r="B34" s="329" t="str">
        <f>'[5]ADO-5'!$E$4</f>
        <v>ADO-5</v>
      </c>
      <c r="C34" s="330"/>
      <c r="D34" s="330"/>
      <c r="E34" s="330"/>
      <c r="F34" s="330"/>
      <c r="G34" s="330"/>
      <c r="H34" s="114">
        <f>'[6]ADO-5'!$E$40</f>
        <v>17</v>
      </c>
      <c r="I34" s="330"/>
      <c r="J34" s="330"/>
      <c r="K34" s="330"/>
      <c r="L34" s="114">
        <f>'[7]ADO-5'!$E$40</f>
        <v>21</v>
      </c>
      <c r="M34" s="331">
        <f>'[5]ADO-5'!$E$40</f>
        <v>20</v>
      </c>
      <c r="N34" s="330"/>
      <c r="O34" s="332">
        <f t="shared" si="0"/>
        <v>58</v>
      </c>
      <c r="P34" s="332">
        <f t="shared" si="1"/>
        <v>19.333333333333332</v>
      </c>
      <c r="S34" s="329" t="str">
        <f>'[5]ADO-5'!B8</f>
        <v>Mise en place d'une centrale d'achat</v>
      </c>
      <c r="U34" s="333" t="s">
        <v>635</v>
      </c>
    </row>
    <row r="35" spans="2:21" x14ac:dyDescent="0.25">
      <c r="B35" s="329" t="str">
        <f>'[5]ADO-10'!$E$4</f>
        <v>ADO-10</v>
      </c>
      <c r="C35" s="330"/>
      <c r="D35" s="330"/>
      <c r="E35" s="330"/>
      <c r="F35" s="330"/>
      <c r="G35" s="330"/>
      <c r="H35" s="114">
        <f>'[6]ADO-10'!$E$40</f>
        <v>18</v>
      </c>
      <c r="I35" s="330"/>
      <c r="J35" s="330"/>
      <c r="K35" s="330"/>
      <c r="L35" s="114">
        <f>'[7]ADO-10'!$E$40</f>
        <v>19</v>
      </c>
      <c r="M35" s="331">
        <f>'[5]ADO-10'!$E$40</f>
        <v>21</v>
      </c>
      <c r="N35" s="330"/>
      <c r="O35" s="332">
        <f t="shared" si="0"/>
        <v>58</v>
      </c>
      <c r="P35" s="332">
        <f t="shared" si="1"/>
        <v>19.333333333333332</v>
      </c>
      <c r="Q35" s="2"/>
      <c r="R35" s="2"/>
      <c r="S35" s="329" t="str">
        <f>'[5]ADO-10'!B8</f>
        <v>Analyse thermographique</v>
      </c>
      <c r="U35" s="333" t="s">
        <v>644</v>
      </c>
    </row>
    <row r="36" spans="2:21" ht="45" x14ac:dyDescent="0.25">
      <c r="B36" s="329" t="str">
        <f>'[5]ADU-31'!$E$4</f>
        <v>ADU-31</v>
      </c>
      <c r="C36" s="330"/>
      <c r="D36" s="330"/>
      <c r="E36" s="330"/>
      <c r="F36" s="330"/>
      <c r="G36" s="330"/>
      <c r="H36" s="114">
        <f>'[6]ADU-31'!$E$40</f>
        <v>20</v>
      </c>
      <c r="I36" s="330"/>
      <c r="J36" s="330"/>
      <c r="K36" s="330"/>
      <c r="L36" s="114">
        <f>'[7]ADU-31'!$E$40</f>
        <v>19</v>
      </c>
      <c r="M36" s="331">
        <f>'[5]ADU-31'!$E$40</f>
        <v>20</v>
      </c>
      <c r="N36" s="330"/>
      <c r="O36" s="332">
        <f t="shared" si="0"/>
        <v>59</v>
      </c>
      <c r="P36" s="332">
        <f t="shared" si="1"/>
        <v>19.666666666666668</v>
      </c>
      <c r="S36" s="329" t="str">
        <f>'[5]ADU-31'!B8</f>
        <v>Covoiturage</v>
      </c>
      <c r="U36" s="333" t="s">
        <v>645</v>
      </c>
    </row>
    <row r="37" spans="2:21" ht="30" x14ac:dyDescent="0.25">
      <c r="B37" s="329" t="str">
        <f>'[5]ADU-35'!$E$4</f>
        <v>ADU-35</v>
      </c>
      <c r="C37" s="330"/>
      <c r="D37" s="330"/>
      <c r="E37" s="330"/>
      <c r="F37" s="330"/>
      <c r="G37" s="330"/>
      <c r="H37" s="114">
        <f>'[6]ADU-35'!$E$40</f>
        <v>21</v>
      </c>
      <c r="I37" s="330"/>
      <c r="J37" s="330"/>
      <c r="K37" s="330"/>
      <c r="L37" s="114">
        <f>'[7]ADU-35'!$E$40</f>
        <v>20</v>
      </c>
      <c r="M37" s="331">
        <f>'[5]ADU-35'!$E$40</f>
        <v>19</v>
      </c>
      <c r="N37" s="330"/>
      <c r="O37" s="332">
        <f t="shared" si="0"/>
        <v>60</v>
      </c>
      <c r="P37" s="332">
        <f t="shared" si="1"/>
        <v>20</v>
      </c>
      <c r="S37" s="329" t="str">
        <f>'[5]ADU-35'!B8</f>
        <v>Ramassage scolaire</v>
      </c>
      <c r="U37" s="333" t="s">
        <v>646</v>
      </c>
    </row>
    <row r="38" spans="2:21" ht="30" x14ac:dyDescent="0.25">
      <c r="B38" s="329" t="str">
        <f>'[5]ADU-12'!$E$4</f>
        <v>ADU-12</v>
      </c>
      <c r="C38" s="330"/>
      <c r="D38" s="330"/>
      <c r="E38" s="330"/>
      <c r="F38" s="330"/>
      <c r="G38" s="330"/>
      <c r="H38" s="114">
        <f>'[6]ADU-12'!$E$40</f>
        <v>21</v>
      </c>
      <c r="I38" s="330"/>
      <c r="J38" s="330"/>
      <c r="K38" s="330"/>
      <c r="L38" s="114">
        <f>'[7]ADU-12'!$E$40</f>
        <v>23</v>
      </c>
      <c r="M38" s="331">
        <f>'[5]ADU-12'!$E$40</f>
        <v>17</v>
      </c>
      <c r="N38" s="330"/>
      <c r="O38" s="332">
        <f t="shared" si="0"/>
        <v>61</v>
      </c>
      <c r="P38" s="332">
        <f t="shared" si="1"/>
        <v>20.333333333333332</v>
      </c>
      <c r="S38" s="329" t="str">
        <f>'[5]ADU-12'!B8</f>
        <v>Isolation poussée des bâtiments scolaires de Marbehan, Habay-la-Vieille, Rulles et Hachy</v>
      </c>
      <c r="U38" s="334" t="s">
        <v>647</v>
      </c>
    </row>
    <row r="39" spans="2:21" x14ac:dyDescent="0.25">
      <c r="B39" s="329" t="str">
        <f>'[5]ADU-18'!$E$4</f>
        <v>ADU-18</v>
      </c>
      <c r="C39" s="330"/>
      <c r="D39" s="330"/>
      <c r="E39" s="330"/>
      <c r="F39" s="330"/>
      <c r="G39" s="330"/>
      <c r="H39" s="114">
        <f>'[6]ADU-18'!$E$40</f>
        <v>22</v>
      </c>
      <c r="I39" s="330"/>
      <c r="J39" s="330"/>
      <c r="K39" s="330"/>
      <c r="L39" s="114">
        <f>'[7]ADU-18'!$E$40</f>
        <v>22</v>
      </c>
      <c r="M39" s="331">
        <f>'[5]ADU-18'!$E$40</f>
        <v>17</v>
      </c>
      <c r="N39" s="330"/>
      <c r="O39" s="332">
        <f t="shared" si="0"/>
        <v>61</v>
      </c>
      <c r="P39" s="332">
        <f t="shared" si="1"/>
        <v>20.333333333333332</v>
      </c>
      <c r="S39" s="329" t="str">
        <f>'[5]ADU-18'!B8</f>
        <v>Installations photovoltaïques pour les bâtiments industriels</v>
      </c>
      <c r="U39" s="333" t="s">
        <v>648</v>
      </c>
    </row>
    <row r="40" spans="2:21" ht="30" x14ac:dyDescent="0.25">
      <c r="B40" s="329" t="str">
        <f>'[5]ADU-13'!$E$4</f>
        <v>ADU-13</v>
      </c>
      <c r="C40" s="330"/>
      <c r="D40" s="330"/>
      <c r="E40" s="330"/>
      <c r="F40" s="330"/>
      <c r="G40" s="330"/>
      <c r="H40" s="114">
        <f>'[6]ADU-13'!$E$40</f>
        <v>24</v>
      </c>
      <c r="I40" s="330"/>
      <c r="J40" s="330"/>
      <c r="K40" s="330"/>
      <c r="L40" s="114">
        <f>'[7]ADU-13'!$E$40</f>
        <v>20</v>
      </c>
      <c r="M40" s="331">
        <f>'[5]ADU-13'!$E$40</f>
        <v>21</v>
      </c>
      <c r="N40" s="330"/>
      <c r="O40" s="332">
        <f t="shared" si="0"/>
        <v>65</v>
      </c>
      <c r="P40" s="332">
        <f t="shared" si="1"/>
        <v>21.666666666666668</v>
      </c>
      <c r="S40" s="329" t="str">
        <f>'[5]ADU-13'!B8</f>
        <v>Eclairage économique</v>
      </c>
      <c r="U40" s="333" t="s">
        <v>649</v>
      </c>
    </row>
    <row r="41" spans="2:21" x14ac:dyDescent="0.25">
      <c r="B41" s="335" t="str">
        <f>'[5]ADU-29'!$E$4</f>
        <v>ADU-29</v>
      </c>
      <c r="C41" s="330"/>
      <c r="D41" s="330"/>
      <c r="E41" s="330"/>
      <c r="F41" s="330"/>
      <c r="G41" s="330"/>
      <c r="H41" s="114">
        <f>'[6]ADU-29'!$E$40</f>
        <v>23</v>
      </c>
      <c r="I41" s="330"/>
      <c r="J41" s="330"/>
      <c r="K41" s="330"/>
      <c r="L41" s="114">
        <f>'[7]ADU-29'!$E$40</f>
        <v>23</v>
      </c>
      <c r="M41" s="331">
        <f>'[5]ADU-29'!$E$40</f>
        <v>21</v>
      </c>
      <c r="N41" s="330"/>
      <c r="O41" s="332">
        <f t="shared" si="0"/>
        <v>67</v>
      </c>
      <c r="P41" s="332">
        <f t="shared" si="1"/>
        <v>22.333333333333332</v>
      </c>
      <c r="S41" s="335" t="str">
        <f>'[5]ADU-29'!B8</f>
        <v>Installation d'un parc de 6 éoliennes de 2,97 MW</v>
      </c>
      <c r="U41" s="333" t="s">
        <v>650</v>
      </c>
    </row>
    <row r="42" spans="2:21" x14ac:dyDescent="0.25">
      <c r="B42" s="336" t="str">
        <f>'[5]ADU-36'!$E$4</f>
        <v>ADU-36</v>
      </c>
      <c r="C42" s="330"/>
      <c r="D42" s="330"/>
      <c r="E42" s="330"/>
      <c r="F42" s="330"/>
      <c r="G42" s="330"/>
      <c r="H42" s="114">
        <f>'[6]ADU-36'!$E$40</f>
        <v>0</v>
      </c>
      <c r="I42" s="330"/>
      <c r="J42" s="330"/>
      <c r="K42" s="330"/>
      <c r="L42" s="114">
        <f>'[7]ADU-36'!$E$40</f>
        <v>0</v>
      </c>
      <c r="M42" s="331">
        <f>'[5]ADU-36'!$E$40</f>
        <v>0</v>
      </c>
      <c r="N42" s="330"/>
      <c r="O42" s="332">
        <f t="shared" si="0"/>
        <v>0</v>
      </c>
      <c r="P42" s="332">
        <f t="shared" si="1"/>
        <v>0</v>
      </c>
      <c r="S42" s="336" t="e">
        <f>'[5]ADU-36'!B8</f>
        <v>#REF!</v>
      </c>
      <c r="U42" s="333"/>
    </row>
    <row r="43" spans="2:21" x14ac:dyDescent="0.25">
      <c r="B43" s="336" t="str">
        <f>'[5]ADU-37'!$E$4</f>
        <v>ADU-37</v>
      </c>
      <c r="C43" s="330"/>
      <c r="D43" s="330"/>
      <c r="E43" s="330"/>
      <c r="F43" s="330"/>
      <c r="G43" s="330"/>
      <c r="H43" s="114">
        <f>'[6]ADU-37'!$E$40</f>
        <v>0</v>
      </c>
      <c r="I43" s="330"/>
      <c r="J43" s="330"/>
      <c r="K43" s="330"/>
      <c r="L43" s="114">
        <f>'[7]ADU-37'!$E$40</f>
        <v>0</v>
      </c>
      <c r="M43" s="331">
        <f>'[5]ADU-37'!$E$40</f>
        <v>0</v>
      </c>
      <c r="N43" s="330"/>
      <c r="O43" s="332">
        <f t="shared" si="0"/>
        <v>0</v>
      </c>
      <c r="P43" s="332">
        <f t="shared" si="1"/>
        <v>0</v>
      </c>
      <c r="S43" s="336" t="e">
        <f>'[5]ADU-37'!B8</f>
        <v>#REF!</v>
      </c>
      <c r="U43" s="333"/>
    </row>
    <row r="44" spans="2:21" x14ac:dyDescent="0.25">
      <c r="B44" s="336" t="str">
        <f>'[5]ADU-38'!$E$4</f>
        <v>ADU-38</v>
      </c>
      <c r="C44" s="330"/>
      <c r="D44" s="330"/>
      <c r="E44" s="330"/>
      <c r="F44" s="330"/>
      <c r="G44" s="330"/>
      <c r="H44" s="114">
        <f>'[6]ADU-38'!$E$40</f>
        <v>0</v>
      </c>
      <c r="I44" s="330"/>
      <c r="J44" s="330"/>
      <c r="K44" s="330"/>
      <c r="L44" s="114">
        <f>'[7]ADU-38'!$E$40</f>
        <v>0</v>
      </c>
      <c r="M44" s="331">
        <f>'[5]ADU-38'!$E$40</f>
        <v>0</v>
      </c>
      <c r="N44" s="330"/>
      <c r="O44" s="332">
        <f t="shared" si="0"/>
        <v>0</v>
      </c>
      <c r="P44" s="332">
        <f t="shared" si="1"/>
        <v>0</v>
      </c>
      <c r="S44" s="336" t="e">
        <f>'[5]ADU-38'!B8</f>
        <v>#REF!</v>
      </c>
      <c r="U44" s="333"/>
    </row>
    <row r="45" spans="2:21" x14ac:dyDescent="0.25">
      <c r="B45" s="336" t="str">
        <f>'[5]ADU-40'!$E$4</f>
        <v>ADU-40</v>
      </c>
      <c r="C45" s="330"/>
      <c r="D45" s="330"/>
      <c r="E45" s="330"/>
      <c r="F45" s="330"/>
      <c r="G45" s="330"/>
      <c r="H45" s="114">
        <f>'[6]ADU-40'!$E$40</f>
        <v>0</v>
      </c>
      <c r="I45" s="330"/>
      <c r="J45" s="330"/>
      <c r="K45" s="330"/>
      <c r="L45" s="114">
        <f>'[7]ADU-40'!$E$40</f>
        <v>0</v>
      </c>
      <c r="M45" s="331">
        <f>'[5]ADU-40'!$E$40</f>
        <v>0</v>
      </c>
      <c r="N45" s="330"/>
      <c r="O45" s="332">
        <f t="shared" si="0"/>
        <v>0</v>
      </c>
      <c r="P45" s="332">
        <f t="shared" si="1"/>
        <v>0</v>
      </c>
      <c r="S45" s="336" t="e">
        <f>'[5]ADU-40'!B8</f>
        <v>#REF!</v>
      </c>
      <c r="U45" s="333"/>
    </row>
  </sheetData>
  <mergeCells count="1">
    <mergeCell ref="C1:N1"/>
  </mergeCells>
  <hyperlinks>
    <hyperlink ref="B18" location="'ADO-2'!A1" display="'ADO-2'!A1"/>
    <hyperlink ref="B11" location="'ADO-3'!A1" display="'ADO-3'!A1"/>
    <hyperlink ref="B34" location="'ADO-5'!A1" display="'ADO-5'!A1"/>
    <hyperlink ref="B26" location="'ADO-6'!A1" display="'ADO-6'!A1"/>
    <hyperlink ref="B19" location="'ADO-7'!A1" display="'ADO-7'!A1"/>
    <hyperlink ref="B7" location="'ADO-8'!A1" display="'ADO-8'!A1"/>
    <hyperlink ref="B16" location="'ADO-9'!A1" display="'ADO-9'!A1"/>
    <hyperlink ref="B35" location="'ADO-10'!A1" display="'ADO-10'!A1"/>
    <hyperlink ref="B4" location="'ADO-11'!A1" display="'ADO-11'!A1"/>
    <hyperlink ref="B5" location="'ADU-10'!A1" display="'ADU-10'!A1"/>
    <hyperlink ref="B13" location="'ADU-110'!A1" display="'ADU-110'!A1"/>
    <hyperlink ref="B29" location="'ADU-111'!A1" display="'ADU-111'!A1"/>
    <hyperlink ref="B20" location="'ADU-112'!A1" display="'ADU-112'!A1"/>
    <hyperlink ref="B14" location="'ADU-113'!A1" display="'ADU-113'!A1"/>
    <hyperlink ref="B38" location="'ADU-12'!A1" display="'ADU-12'!A1"/>
    <hyperlink ref="B40" location="'ADU-13'!A1" display="'ADU-13'!A1"/>
    <hyperlink ref="B8" location="'ADU-14'!A1" display="'ADU-14'!A1"/>
    <hyperlink ref="B21" location="'ADU-15'!A1" display="'ADU-15'!A1"/>
    <hyperlink ref="B15" location="'ADU-16'!A1" display="'ADU-16'!A1"/>
    <hyperlink ref="B31" location="'ADU-17'!A1" display="'ADU-17'!A1"/>
    <hyperlink ref="B39" location="'ADU-18'!A1" display="'ADU-18'!A1"/>
    <hyperlink ref="B22" location="'ADU-19'!A1" display="'ADU-19'!A1"/>
    <hyperlink ref="B23" location="'ADU-20'!A1" display="'ADU-20'!A1"/>
    <hyperlink ref="B32" location="'ADU-21'!A1" display="'ADU-21'!A1"/>
    <hyperlink ref="B33" location="'ADU-22'!A1" display="'ADU-22'!A1"/>
    <hyperlink ref="B24" location="'ADU-23'!A1" display="'ADU-23'!A1"/>
    <hyperlink ref="B12" location="'ADU-24'!A1" display="'ADU-24'!A1"/>
    <hyperlink ref="B25" location="'ADU-25'!A1" display="'ADU-25'!A1"/>
    <hyperlink ref="B17" location="'ADU-26'!A1" display="'ADU-26'!A1"/>
    <hyperlink ref="B30" location="'ADU-27'!A1" display="'ADU-27'!A1"/>
    <hyperlink ref="B27" location="'ADU-28'!A1" display="'ADU-28'!A1"/>
    <hyperlink ref="B41" location="'ADU-29'!A1" display="'ADU-29'!A1"/>
    <hyperlink ref="B28" location="'ADU-30'!A1" display="'ADU-30'!A1"/>
    <hyperlink ref="B36" location="'ADU-31'!A1" display="'ADU-31'!A1"/>
    <hyperlink ref="B6" location="'ADU-32'!A1" display="'ADU-32'!A1"/>
    <hyperlink ref="B10" location="'ADU-33'!A1" display="'ADU-33'!A1"/>
    <hyperlink ref="B9" location="'ADU-34'!A1" display="'ADU-34'!A1"/>
    <hyperlink ref="B37" location="'ADU-35'!A1" display="'ADU-35'!A1"/>
    <hyperlink ref="B42" location="'ADU-36'!A1" display="'ADU-36'!A1"/>
    <hyperlink ref="B43" location="'ADU-37'!A1" display="'ADU-37'!A1"/>
    <hyperlink ref="B44" location="'ADU-38'!A1" display="'ADU-38'!A1"/>
    <hyperlink ref="B45" location="'ADU-40'!A1" display="'ADU-40'!A1"/>
  </hyperlinks>
  <pageMargins left="0.7" right="0.7" top="0.75" bottom="0.75" header="0.3" footer="0.3"/>
  <pageSetup paperSize="9" orientation="portrait"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Z80"/>
  <sheetViews>
    <sheetView showGridLines="0" zoomScale="175" zoomScaleNormal="175" workbookViewId="0">
      <selection activeCell="A4" sqref="A4:Q80"/>
    </sheetView>
  </sheetViews>
  <sheetFormatPr baseColWidth="10" defaultRowHeight="15" x14ac:dyDescent="0.25"/>
  <cols>
    <col min="1" max="1" width="11.42578125" style="37"/>
    <col min="2" max="2" width="11.85546875" style="37" customWidth="1"/>
    <col min="3" max="5" width="6.5703125" style="273" customWidth="1"/>
    <col min="6" max="17" width="5.85546875" style="273" customWidth="1"/>
    <col min="18" max="16384" width="11.42578125" style="37"/>
  </cols>
  <sheetData>
    <row r="2" spans="2:26" x14ac:dyDescent="0.25">
      <c r="B2" s="37" t="s">
        <v>592</v>
      </c>
    </row>
    <row r="3" spans="2:26" ht="15.75" thickBot="1" x14ac:dyDescent="0.3"/>
    <row r="4" spans="2:26" x14ac:dyDescent="0.25">
      <c r="B4" s="283" t="s">
        <v>593</v>
      </c>
      <c r="C4" s="306">
        <v>2012</v>
      </c>
      <c r="D4" s="284">
        <v>2013</v>
      </c>
      <c r="E4" s="285">
        <v>2014</v>
      </c>
      <c r="F4" s="1011">
        <v>2015</v>
      </c>
      <c r="G4" s="1012"/>
      <c r="H4" s="1011">
        <v>2016</v>
      </c>
      <c r="I4" s="1012"/>
      <c r="J4" s="1011">
        <v>2017</v>
      </c>
      <c r="K4" s="1012"/>
      <c r="L4" s="1011">
        <v>2018</v>
      </c>
      <c r="M4" s="1012"/>
      <c r="N4" s="1011">
        <v>2019</v>
      </c>
      <c r="O4" s="1012"/>
      <c r="P4" s="1011">
        <v>2020</v>
      </c>
      <c r="Q4" s="1012"/>
    </row>
    <row r="5" spans="2:26" x14ac:dyDescent="0.25">
      <c r="B5" s="408" t="s">
        <v>181</v>
      </c>
      <c r="C5" s="312"/>
      <c r="D5" s="286"/>
      <c r="E5" s="287"/>
      <c r="F5" s="288"/>
      <c r="G5" s="289"/>
      <c r="H5" s="288"/>
      <c r="I5" s="289"/>
      <c r="J5" s="288"/>
      <c r="K5" s="289"/>
      <c r="L5" s="288"/>
      <c r="M5" s="289"/>
      <c r="N5" s="288"/>
      <c r="O5" s="289"/>
      <c r="P5" s="288"/>
      <c r="Q5" s="289"/>
      <c r="S5" s="256" t="s">
        <v>181</v>
      </c>
      <c r="T5" s="316" t="s">
        <v>679</v>
      </c>
      <c r="U5" s="256" t="s">
        <v>90</v>
      </c>
      <c r="V5" s="256" t="s">
        <v>156</v>
      </c>
      <c r="W5" s="256" t="s">
        <v>196</v>
      </c>
      <c r="X5" s="256" t="s">
        <v>121</v>
      </c>
      <c r="Y5" s="256" t="s">
        <v>134</v>
      </c>
      <c r="Z5" s="256" t="s">
        <v>704</v>
      </c>
    </row>
    <row r="6" spans="2:26" x14ac:dyDescent="0.25">
      <c r="B6" s="408" t="s">
        <v>182</v>
      </c>
      <c r="C6" s="307"/>
      <c r="D6" s="290"/>
      <c r="E6" s="290"/>
      <c r="F6" s="291"/>
      <c r="G6" s="310"/>
      <c r="H6" s="288"/>
      <c r="I6" s="289"/>
      <c r="J6" s="288"/>
      <c r="K6" s="289"/>
      <c r="L6" s="291"/>
      <c r="M6" s="292"/>
      <c r="N6" s="291"/>
      <c r="O6" s="292"/>
      <c r="P6" s="291"/>
      <c r="Q6" s="292"/>
      <c r="S6" s="256" t="s">
        <v>182</v>
      </c>
      <c r="T6" s="316" t="s">
        <v>682</v>
      </c>
      <c r="U6" s="256" t="s">
        <v>92</v>
      </c>
      <c r="V6" s="256" t="s">
        <v>157</v>
      </c>
      <c r="W6" s="316" t="s">
        <v>700</v>
      </c>
      <c r="X6" s="256" t="s">
        <v>122</v>
      </c>
      <c r="Y6" s="256" t="s">
        <v>143</v>
      </c>
      <c r="Z6" s="316" t="s">
        <v>707</v>
      </c>
    </row>
    <row r="7" spans="2:26" x14ac:dyDescent="0.25">
      <c r="B7" s="408" t="s">
        <v>183</v>
      </c>
      <c r="C7" s="307"/>
      <c r="D7" s="290"/>
      <c r="E7" s="290"/>
      <c r="F7" s="291"/>
      <c r="G7" s="310"/>
      <c r="H7" s="288"/>
      <c r="I7" s="289"/>
      <c r="J7" s="288"/>
      <c r="K7" s="289"/>
      <c r="L7" s="288"/>
      <c r="M7" s="289"/>
      <c r="N7" s="288"/>
      <c r="O7" s="289"/>
      <c r="P7" s="288"/>
      <c r="Q7" s="289"/>
      <c r="S7" s="256" t="s">
        <v>183</v>
      </c>
      <c r="T7" s="316" t="s">
        <v>684</v>
      </c>
      <c r="U7" s="316" t="s">
        <v>693</v>
      </c>
      <c r="V7" s="256" t="s">
        <v>405</v>
      </c>
      <c r="W7" s="256" t="s">
        <v>95</v>
      </c>
      <c r="X7" s="256" t="s">
        <v>123</v>
      </c>
      <c r="Y7" s="316" t="s">
        <v>716</v>
      </c>
      <c r="Z7" s="316" t="s">
        <v>708</v>
      </c>
    </row>
    <row r="8" spans="2:26" x14ac:dyDescent="0.25">
      <c r="B8" s="408" t="s">
        <v>190</v>
      </c>
      <c r="C8" s="307"/>
      <c r="D8" s="286"/>
      <c r="E8" s="288"/>
      <c r="F8" s="291"/>
      <c r="G8" s="292"/>
      <c r="H8" s="291"/>
      <c r="I8" s="292"/>
      <c r="J8" s="291"/>
      <c r="K8" s="292"/>
      <c r="L8" s="291"/>
      <c r="M8" s="292"/>
      <c r="N8" s="291"/>
      <c r="O8" s="292"/>
      <c r="P8" s="291"/>
      <c r="Q8" s="292"/>
      <c r="S8" s="256" t="s">
        <v>190</v>
      </c>
      <c r="T8" s="316" t="s">
        <v>688</v>
      </c>
      <c r="U8" s="316" t="s">
        <v>692</v>
      </c>
      <c r="V8" s="154"/>
      <c r="W8" s="256" t="s">
        <v>98</v>
      </c>
      <c r="X8" s="256" t="s">
        <v>124</v>
      </c>
      <c r="Y8" s="256" t="s">
        <v>144</v>
      </c>
      <c r="Z8" s="316" t="s">
        <v>710</v>
      </c>
    </row>
    <row r="9" spans="2:26" x14ac:dyDescent="0.25">
      <c r="B9" s="408" t="s">
        <v>180</v>
      </c>
      <c r="C9" s="312"/>
      <c r="D9" s="286"/>
      <c r="E9" s="287"/>
      <c r="F9" s="288"/>
      <c r="G9" s="289"/>
      <c r="H9" s="288"/>
      <c r="I9" s="289"/>
      <c r="J9" s="288"/>
      <c r="K9" s="289"/>
      <c r="L9" s="288"/>
      <c r="M9" s="289"/>
      <c r="N9" s="288"/>
      <c r="O9" s="289"/>
      <c r="P9" s="288"/>
      <c r="Q9" s="289"/>
      <c r="S9" s="256" t="s">
        <v>180</v>
      </c>
      <c r="T9" s="154"/>
      <c r="U9" s="256" t="s">
        <v>91</v>
      </c>
      <c r="V9" s="256" t="s">
        <v>162</v>
      </c>
      <c r="W9" s="316" t="s">
        <v>794</v>
      </c>
      <c r="X9" s="256" t="s">
        <v>129</v>
      </c>
      <c r="Y9" s="256" t="s">
        <v>146</v>
      </c>
      <c r="Z9" s="316" t="s">
        <v>720</v>
      </c>
    </row>
    <row r="10" spans="2:26" x14ac:dyDescent="0.25">
      <c r="B10" s="467" t="s">
        <v>308</v>
      </c>
      <c r="C10" s="307"/>
      <c r="D10" s="290"/>
      <c r="E10" s="293"/>
      <c r="F10" s="602"/>
      <c r="G10" s="603"/>
      <c r="H10" s="602"/>
      <c r="I10" s="603"/>
      <c r="J10" s="602"/>
      <c r="K10" s="603"/>
      <c r="L10" s="602"/>
      <c r="M10" s="603"/>
      <c r="N10" s="602"/>
      <c r="O10" s="603"/>
      <c r="P10" s="602"/>
      <c r="Q10" s="603"/>
      <c r="S10" s="256" t="s">
        <v>308</v>
      </c>
      <c r="T10" s="154"/>
      <c r="U10" s="316" t="s">
        <v>601</v>
      </c>
      <c r="V10" s="256" t="s">
        <v>166</v>
      </c>
      <c r="W10" s="256" t="s">
        <v>101</v>
      </c>
      <c r="X10" s="256" t="s">
        <v>130</v>
      </c>
      <c r="Y10" s="256" t="s">
        <v>149</v>
      </c>
      <c r="Z10" s="256" t="s">
        <v>480</v>
      </c>
    </row>
    <row r="11" spans="2:26" x14ac:dyDescent="0.25">
      <c r="B11" s="467" t="s">
        <v>309</v>
      </c>
      <c r="C11" s="307"/>
      <c r="D11" s="290"/>
      <c r="E11" s="293"/>
      <c r="F11" s="602"/>
      <c r="G11" s="603"/>
      <c r="H11" s="602"/>
      <c r="I11" s="603"/>
      <c r="J11" s="602"/>
      <c r="K11" s="603"/>
      <c r="L11" s="602"/>
      <c r="M11" s="603"/>
      <c r="N11" s="602"/>
      <c r="O11" s="603"/>
      <c r="P11" s="602"/>
      <c r="Q11" s="603"/>
      <c r="S11" s="256" t="s">
        <v>309</v>
      </c>
      <c r="T11" s="154"/>
      <c r="U11" s="316" t="s">
        <v>694</v>
      </c>
      <c r="V11" s="256" t="s">
        <v>170</v>
      </c>
      <c r="W11" s="256" t="s">
        <v>104</v>
      </c>
      <c r="X11" s="256" t="s">
        <v>275</v>
      </c>
      <c r="Y11" s="316" t="s">
        <v>717</v>
      </c>
      <c r="Z11" s="256" t="s">
        <v>479</v>
      </c>
    </row>
    <row r="12" spans="2:26" x14ac:dyDescent="0.25">
      <c r="B12" s="408" t="s">
        <v>317</v>
      </c>
      <c r="C12" s="307"/>
      <c r="D12" s="290"/>
      <c r="E12" s="293"/>
      <c r="F12" s="291"/>
      <c r="G12" s="292"/>
      <c r="H12" s="288"/>
      <c r="I12" s="289"/>
      <c r="J12" s="288"/>
      <c r="K12" s="289"/>
      <c r="L12" s="288"/>
      <c r="M12" s="289"/>
      <c r="N12" s="288"/>
      <c r="O12" s="289"/>
      <c r="P12" s="288"/>
      <c r="Q12" s="289"/>
      <c r="S12" s="256" t="s">
        <v>317</v>
      </c>
      <c r="T12" s="154"/>
      <c r="U12" s="316" t="s">
        <v>695</v>
      </c>
      <c r="V12" s="256" t="s">
        <v>409</v>
      </c>
      <c r="W12" s="256" t="s">
        <v>106</v>
      </c>
      <c r="X12" s="316" t="s">
        <v>793</v>
      </c>
      <c r="Y12" s="256" t="s">
        <v>148</v>
      </c>
      <c r="Z12" s="316" t="s">
        <v>719</v>
      </c>
    </row>
    <row r="13" spans="2:26" x14ac:dyDescent="0.25">
      <c r="B13" s="408" t="s">
        <v>316</v>
      </c>
      <c r="C13" s="307"/>
      <c r="D13" s="290"/>
      <c r="E13" s="293"/>
      <c r="F13" s="291"/>
      <c r="G13" s="292"/>
      <c r="H13" s="288"/>
      <c r="I13" s="289"/>
      <c r="J13" s="288"/>
      <c r="K13" s="289"/>
      <c r="L13" s="288"/>
      <c r="M13" s="289"/>
      <c r="N13" s="288"/>
      <c r="O13" s="289"/>
      <c r="P13" s="288"/>
      <c r="Q13" s="289"/>
      <c r="S13" s="256" t="s">
        <v>316</v>
      </c>
      <c r="T13" s="154"/>
      <c r="U13" s="316" t="s">
        <v>745</v>
      </c>
      <c r="V13" s="256" t="s">
        <v>406</v>
      </c>
      <c r="W13" s="256" t="s">
        <v>109</v>
      </c>
      <c r="X13" s="256" t="s">
        <v>276</v>
      </c>
      <c r="Y13" s="154"/>
      <c r="Z13" s="316" t="s">
        <v>800</v>
      </c>
    </row>
    <row r="14" spans="2:26" x14ac:dyDescent="0.25">
      <c r="B14" s="408" t="s">
        <v>315</v>
      </c>
      <c r="C14" s="307"/>
      <c r="D14" s="290"/>
      <c r="E14" s="293"/>
      <c r="F14" s="288"/>
      <c r="G14" s="289"/>
      <c r="H14" s="288"/>
      <c r="I14" s="289"/>
      <c r="J14" s="288"/>
      <c r="K14" s="289"/>
      <c r="L14" s="288"/>
      <c r="M14" s="289"/>
      <c r="N14" s="288"/>
      <c r="O14" s="289"/>
      <c r="P14" s="288"/>
      <c r="Q14" s="289"/>
      <c r="S14" s="256" t="s">
        <v>315</v>
      </c>
      <c r="T14" s="154"/>
      <c r="U14" s="154"/>
      <c r="V14" s="256" t="s">
        <v>210</v>
      </c>
      <c r="W14" s="256" t="s">
        <v>114</v>
      </c>
      <c r="X14" s="256" t="s">
        <v>287</v>
      </c>
      <c r="Y14" s="154"/>
      <c r="Z14" s="256" t="s">
        <v>478</v>
      </c>
    </row>
    <row r="15" spans="2:26" x14ac:dyDescent="0.25">
      <c r="B15" s="408" t="s">
        <v>408</v>
      </c>
      <c r="C15" s="307"/>
      <c r="D15" s="290"/>
      <c r="E15" s="293"/>
      <c r="F15" s="288"/>
      <c r="G15" s="289"/>
      <c r="H15" s="288"/>
      <c r="I15" s="289"/>
      <c r="J15" s="288"/>
      <c r="K15" s="289"/>
      <c r="L15" s="288"/>
      <c r="M15" s="289"/>
      <c r="N15" s="288"/>
      <c r="O15" s="289"/>
      <c r="P15" s="288"/>
      <c r="Q15" s="289"/>
      <c r="S15" s="256" t="s">
        <v>408</v>
      </c>
      <c r="T15" s="154"/>
      <c r="U15" s="154"/>
      <c r="V15" s="256" t="s">
        <v>211</v>
      </c>
      <c r="W15" s="256" t="s">
        <v>118</v>
      </c>
      <c r="X15" s="256" t="s">
        <v>239</v>
      </c>
      <c r="Y15" s="154"/>
      <c r="Z15" s="256" t="s">
        <v>477</v>
      </c>
    </row>
    <row r="16" spans="2:26" x14ac:dyDescent="0.25">
      <c r="B16" s="422" t="s">
        <v>679</v>
      </c>
      <c r="C16" s="307"/>
      <c r="D16" s="290"/>
      <c r="E16" s="293"/>
      <c r="F16" s="288"/>
      <c r="G16" s="289"/>
      <c r="H16" s="288"/>
      <c r="I16" s="289"/>
      <c r="J16" s="288"/>
      <c r="K16" s="289"/>
      <c r="L16" s="288"/>
      <c r="M16" s="289"/>
      <c r="N16" s="288"/>
      <c r="O16" s="289"/>
      <c r="P16" s="288"/>
      <c r="Q16" s="289"/>
    </row>
    <row r="17" spans="1:17" x14ac:dyDescent="0.25">
      <c r="B17" s="422" t="s">
        <v>682</v>
      </c>
      <c r="C17" s="307"/>
      <c r="D17" s="290"/>
      <c r="E17" s="293"/>
      <c r="F17" s="288"/>
      <c r="G17" s="289"/>
      <c r="H17" s="288"/>
      <c r="I17" s="289"/>
      <c r="J17" s="288"/>
      <c r="K17" s="289"/>
      <c r="L17" s="288"/>
      <c r="M17" s="289"/>
      <c r="N17" s="288"/>
      <c r="O17" s="289"/>
      <c r="P17" s="288"/>
      <c r="Q17" s="289"/>
    </row>
    <row r="18" spans="1:17" x14ac:dyDescent="0.25">
      <c r="B18" s="422" t="s">
        <v>684</v>
      </c>
      <c r="C18" s="307"/>
      <c r="D18" s="290"/>
      <c r="E18" s="293"/>
      <c r="F18" s="288"/>
      <c r="G18" s="289"/>
      <c r="H18" s="288"/>
      <c r="I18" s="289"/>
      <c r="J18" s="288"/>
      <c r="K18" s="289"/>
      <c r="L18" s="288"/>
      <c r="M18" s="289"/>
      <c r="N18" s="288"/>
      <c r="O18" s="289"/>
      <c r="P18" s="288"/>
      <c r="Q18" s="289"/>
    </row>
    <row r="19" spans="1:17" ht="15.75" thickBot="1" x14ac:dyDescent="0.3">
      <c r="B19" s="422" t="s">
        <v>688</v>
      </c>
      <c r="C19" s="307"/>
      <c r="D19" s="290"/>
      <c r="E19" s="293"/>
      <c r="F19" s="309"/>
      <c r="G19" s="310"/>
      <c r="H19" s="288"/>
      <c r="I19" s="289"/>
      <c r="J19" s="288"/>
      <c r="K19" s="289"/>
      <c r="L19" s="288"/>
      <c r="M19" s="289"/>
      <c r="N19" s="288"/>
      <c r="O19" s="289"/>
      <c r="P19" s="288"/>
      <c r="Q19" s="289"/>
    </row>
    <row r="20" spans="1:17" x14ac:dyDescent="0.25">
      <c r="A20" s="37" t="s">
        <v>597</v>
      </c>
      <c r="B20" s="605" t="s">
        <v>90</v>
      </c>
      <c r="C20" s="1019" t="s">
        <v>594</v>
      </c>
      <c r="D20" s="1020"/>
      <c r="E20" s="1021"/>
      <c r="F20" s="604"/>
      <c r="G20" s="310"/>
      <c r="H20" s="309"/>
      <c r="I20" s="310"/>
      <c r="J20" s="309"/>
      <c r="K20" s="310"/>
      <c r="L20" s="309"/>
      <c r="M20" s="310"/>
      <c r="N20" s="309"/>
      <c r="O20" s="310"/>
      <c r="P20" s="309"/>
      <c r="Q20" s="310"/>
    </row>
    <row r="21" spans="1:17" x14ac:dyDescent="0.25">
      <c r="A21" s="37" t="s">
        <v>597</v>
      </c>
      <c r="B21" s="606" t="s">
        <v>92</v>
      </c>
      <c r="C21" s="1013" t="s">
        <v>594</v>
      </c>
      <c r="D21" s="1014"/>
      <c r="E21" s="1015"/>
      <c r="F21" s="604"/>
      <c r="G21" s="310"/>
      <c r="H21" s="309"/>
      <c r="I21" s="310"/>
      <c r="J21" s="309"/>
      <c r="K21" s="310"/>
      <c r="L21" s="309"/>
      <c r="M21" s="310"/>
      <c r="N21" s="309"/>
      <c r="O21" s="310"/>
      <c r="P21" s="309"/>
      <c r="Q21" s="310"/>
    </row>
    <row r="22" spans="1:17" x14ac:dyDescent="0.25">
      <c r="A22" s="37" t="s">
        <v>597</v>
      </c>
      <c r="B22" s="607" t="s">
        <v>693</v>
      </c>
      <c r="C22" s="1013" t="s">
        <v>594</v>
      </c>
      <c r="D22" s="1014"/>
      <c r="E22" s="1015"/>
      <c r="F22" s="604"/>
      <c r="G22" s="310"/>
      <c r="H22" s="309"/>
      <c r="I22" s="310"/>
      <c r="J22" s="309"/>
      <c r="K22" s="310"/>
      <c r="L22" s="309"/>
      <c r="M22" s="310"/>
      <c r="N22" s="309"/>
      <c r="O22" s="310"/>
      <c r="P22" s="309"/>
      <c r="Q22" s="310"/>
    </row>
    <row r="23" spans="1:17" x14ac:dyDescent="0.25">
      <c r="A23" s="37" t="s">
        <v>597</v>
      </c>
      <c r="B23" s="607" t="s">
        <v>692</v>
      </c>
      <c r="C23" s="1013" t="s">
        <v>594</v>
      </c>
      <c r="D23" s="1014"/>
      <c r="E23" s="1015"/>
      <c r="F23" s="604"/>
      <c r="G23" s="310"/>
      <c r="H23" s="309"/>
      <c r="I23" s="310"/>
      <c r="J23" s="309"/>
      <c r="K23" s="310"/>
      <c r="L23" s="309"/>
      <c r="M23" s="310"/>
      <c r="N23" s="309"/>
      <c r="O23" s="310"/>
      <c r="P23" s="309"/>
      <c r="Q23" s="310"/>
    </row>
    <row r="24" spans="1:17" x14ac:dyDescent="0.25">
      <c r="A24" s="37" t="s">
        <v>597</v>
      </c>
      <c r="B24" s="607" t="s">
        <v>753</v>
      </c>
      <c r="C24" s="1013" t="s">
        <v>594</v>
      </c>
      <c r="D24" s="1014"/>
      <c r="E24" s="1015"/>
      <c r="F24" s="604"/>
      <c r="G24" s="310"/>
      <c r="H24" s="309"/>
      <c r="I24" s="310"/>
      <c r="J24" s="309"/>
      <c r="K24" s="310"/>
      <c r="L24" s="309"/>
      <c r="M24" s="310"/>
      <c r="N24" s="309"/>
      <c r="O24" s="310"/>
      <c r="P24" s="309"/>
      <c r="Q24" s="310"/>
    </row>
    <row r="25" spans="1:17" x14ac:dyDescent="0.25">
      <c r="A25" s="37" t="s">
        <v>597</v>
      </c>
      <c r="B25" s="608" t="s">
        <v>91</v>
      </c>
      <c r="C25" s="1016" t="s">
        <v>594</v>
      </c>
      <c r="D25" s="1017"/>
      <c r="E25" s="1018"/>
      <c r="F25" s="604"/>
      <c r="G25" s="310"/>
      <c r="H25" s="309"/>
      <c r="I25" s="310"/>
      <c r="J25" s="309"/>
      <c r="K25" s="310"/>
      <c r="L25" s="309"/>
      <c r="M25" s="310"/>
      <c r="N25" s="309"/>
      <c r="O25" s="310"/>
      <c r="P25" s="309"/>
      <c r="Q25" s="310"/>
    </row>
    <row r="26" spans="1:17" x14ac:dyDescent="0.25">
      <c r="A26" s="37" t="s">
        <v>597</v>
      </c>
      <c r="B26" s="607" t="s">
        <v>601</v>
      </c>
      <c r="C26" s="1013" t="s">
        <v>594</v>
      </c>
      <c r="D26" s="1014"/>
      <c r="E26" s="1015"/>
      <c r="F26" s="604"/>
      <c r="G26" s="310"/>
      <c r="H26" s="309"/>
      <c r="I26" s="310"/>
      <c r="J26" s="309"/>
      <c r="K26" s="310"/>
      <c r="L26" s="309"/>
      <c r="M26" s="310"/>
      <c r="N26" s="309"/>
      <c r="O26" s="310"/>
      <c r="P26" s="309"/>
      <c r="Q26" s="310"/>
    </row>
    <row r="27" spans="1:17" x14ac:dyDescent="0.25">
      <c r="A27" s="37" t="s">
        <v>597</v>
      </c>
      <c r="B27" s="607" t="s">
        <v>694</v>
      </c>
      <c r="C27" s="1013" t="s">
        <v>594</v>
      </c>
      <c r="D27" s="1014"/>
      <c r="E27" s="1015"/>
      <c r="F27" s="274"/>
      <c r="G27" s="292"/>
      <c r="H27" s="309"/>
      <c r="I27" s="310"/>
      <c r="J27" s="309"/>
      <c r="K27" s="310"/>
      <c r="L27" s="309"/>
      <c r="M27" s="310"/>
      <c r="N27" s="309"/>
      <c r="O27" s="310"/>
      <c r="P27" s="309"/>
      <c r="Q27" s="310"/>
    </row>
    <row r="28" spans="1:17" x14ac:dyDescent="0.25">
      <c r="A28" s="37" t="s">
        <v>597</v>
      </c>
      <c r="B28" s="607" t="s">
        <v>695</v>
      </c>
      <c r="C28" s="307"/>
      <c r="D28" s="290"/>
      <c r="E28" s="293"/>
      <c r="F28" s="302"/>
      <c r="G28" s="303"/>
      <c r="H28" s="302"/>
      <c r="I28" s="303"/>
      <c r="J28" s="302"/>
      <c r="K28" s="303"/>
      <c r="L28" s="309"/>
      <c r="M28" s="310"/>
      <c r="N28" s="309"/>
      <c r="O28" s="310"/>
      <c r="P28" s="309"/>
      <c r="Q28" s="310"/>
    </row>
    <row r="29" spans="1:17" x14ac:dyDescent="0.25">
      <c r="B29" s="607" t="s">
        <v>745</v>
      </c>
      <c r="C29" s="307"/>
      <c r="D29" s="290"/>
      <c r="E29" s="293"/>
      <c r="F29" s="309"/>
      <c r="G29" s="292"/>
      <c r="H29" s="309"/>
      <c r="I29" s="310"/>
      <c r="J29" s="302"/>
      <c r="K29" s="303"/>
      <c r="L29" s="302"/>
      <c r="M29" s="303"/>
      <c r="N29" s="309"/>
      <c r="O29" s="310"/>
      <c r="P29" s="309"/>
      <c r="Q29" s="310"/>
    </row>
    <row r="30" spans="1:17" x14ac:dyDescent="0.25">
      <c r="B30" s="609" t="s">
        <v>156</v>
      </c>
      <c r="C30" s="1028" t="s">
        <v>594</v>
      </c>
      <c r="D30" s="1029"/>
      <c r="E30" s="1030"/>
      <c r="F30" s="274"/>
      <c r="G30" s="292"/>
      <c r="H30" s="309"/>
      <c r="I30" s="310"/>
      <c r="J30" s="309"/>
      <c r="K30" s="310"/>
      <c r="L30" s="309"/>
      <c r="M30" s="310"/>
      <c r="N30" s="309"/>
      <c r="O30" s="310"/>
      <c r="P30" s="309"/>
      <c r="Q30" s="310"/>
    </row>
    <row r="31" spans="1:17" x14ac:dyDescent="0.25">
      <c r="B31" s="609" t="s">
        <v>157</v>
      </c>
      <c r="C31" s="1028" t="s">
        <v>594</v>
      </c>
      <c r="D31" s="1029"/>
      <c r="E31" s="1030"/>
      <c r="F31" s="274"/>
      <c r="G31" s="292"/>
      <c r="H31" s="309"/>
      <c r="I31" s="310"/>
      <c r="J31" s="309"/>
      <c r="K31" s="310"/>
      <c r="L31" s="309"/>
      <c r="M31" s="310"/>
      <c r="N31" s="309"/>
      <c r="O31" s="310"/>
      <c r="P31" s="309"/>
      <c r="Q31" s="310"/>
    </row>
    <row r="32" spans="1:17" x14ac:dyDescent="0.25">
      <c r="B32" s="605" t="s">
        <v>405</v>
      </c>
      <c r="C32" s="1031" t="s">
        <v>594</v>
      </c>
      <c r="D32" s="1032"/>
      <c r="E32" s="1033"/>
      <c r="F32" s="274"/>
      <c r="G32" s="292"/>
      <c r="H32" s="309"/>
      <c r="I32" s="310"/>
      <c r="J32" s="309"/>
      <c r="K32" s="310"/>
      <c r="L32" s="309"/>
      <c r="M32" s="310"/>
      <c r="N32" s="309"/>
      <c r="O32" s="310"/>
      <c r="P32" s="309"/>
      <c r="Q32" s="310"/>
    </row>
    <row r="33" spans="1:17" x14ac:dyDescent="0.25">
      <c r="B33" s="609" t="s">
        <v>162</v>
      </c>
      <c r="C33" s="1028" t="s">
        <v>594</v>
      </c>
      <c r="D33" s="1029"/>
      <c r="E33" s="1030"/>
      <c r="F33" s="274"/>
      <c r="G33" s="292"/>
      <c r="H33" s="309"/>
      <c r="I33" s="310"/>
      <c r="J33" s="309"/>
      <c r="K33" s="310"/>
      <c r="L33" s="309"/>
      <c r="M33" s="310"/>
      <c r="N33" s="309"/>
      <c r="O33" s="310"/>
      <c r="P33" s="309"/>
      <c r="Q33" s="310"/>
    </row>
    <row r="34" spans="1:17" x14ac:dyDescent="0.25">
      <c r="B34" s="610" t="s">
        <v>166</v>
      </c>
      <c r="C34" s="1022" t="s">
        <v>594</v>
      </c>
      <c r="D34" s="1023"/>
      <c r="E34" s="1024"/>
      <c r="F34" s="274"/>
      <c r="G34" s="292"/>
      <c r="H34" s="309"/>
      <c r="I34" s="310"/>
      <c r="J34" s="309"/>
      <c r="K34" s="310"/>
      <c r="L34" s="309"/>
      <c r="M34" s="310"/>
      <c r="N34" s="309"/>
      <c r="O34" s="310"/>
      <c r="P34" s="309"/>
      <c r="Q34" s="310"/>
    </row>
    <row r="35" spans="1:17" ht="15.75" thickBot="1" x14ac:dyDescent="0.3">
      <c r="B35" s="610" t="s">
        <v>170</v>
      </c>
      <c r="C35" s="1025" t="s">
        <v>594</v>
      </c>
      <c r="D35" s="1026"/>
      <c r="E35" s="1027"/>
      <c r="F35" s="274"/>
      <c r="G35" s="292"/>
      <c r="H35" s="309"/>
      <c r="I35" s="310"/>
      <c r="J35" s="309"/>
      <c r="K35" s="310"/>
      <c r="L35" s="309"/>
      <c r="M35" s="310"/>
      <c r="N35" s="309"/>
      <c r="O35" s="310"/>
      <c r="P35" s="309"/>
      <c r="Q35" s="310"/>
    </row>
    <row r="36" spans="1:17" x14ac:dyDescent="0.25">
      <c r="A36" s="37" t="s">
        <v>596</v>
      </c>
      <c r="B36" s="255" t="s">
        <v>409</v>
      </c>
      <c r="C36" s="313"/>
      <c r="D36" s="308"/>
      <c r="E36" s="308"/>
      <c r="F36" s="274"/>
      <c r="G36" s="292"/>
      <c r="H36" s="309"/>
      <c r="I36" s="310"/>
      <c r="J36" s="309"/>
      <c r="K36" s="310"/>
      <c r="L36" s="309"/>
      <c r="M36" s="310"/>
      <c r="N36" s="309"/>
      <c r="O36" s="310"/>
      <c r="P36" s="309"/>
      <c r="Q36" s="310"/>
    </row>
    <row r="37" spans="1:17" x14ac:dyDescent="0.25">
      <c r="B37" s="559" t="s">
        <v>406</v>
      </c>
      <c r="C37" s="307"/>
      <c r="D37" s="290"/>
      <c r="E37" s="290"/>
      <c r="F37" s="612"/>
      <c r="G37" s="603"/>
      <c r="H37" s="304"/>
      <c r="I37" s="305"/>
      <c r="J37" s="304"/>
      <c r="K37" s="305"/>
      <c r="L37" s="304"/>
      <c r="M37" s="305"/>
      <c r="N37" s="304"/>
      <c r="O37" s="305"/>
      <c r="P37" s="304"/>
      <c r="Q37" s="305"/>
    </row>
    <row r="38" spans="1:17" x14ac:dyDescent="0.25">
      <c r="B38" s="467" t="s">
        <v>210</v>
      </c>
      <c r="C38" s="307"/>
      <c r="D38" s="290"/>
      <c r="E38" s="290"/>
      <c r="F38" s="612"/>
      <c r="G38" s="603"/>
      <c r="H38" s="304"/>
      <c r="I38" s="305"/>
      <c r="J38" s="304"/>
      <c r="K38" s="305"/>
      <c r="L38" s="304"/>
      <c r="M38" s="305"/>
      <c r="N38" s="304"/>
      <c r="O38" s="305"/>
      <c r="P38" s="304"/>
      <c r="Q38" s="305"/>
    </row>
    <row r="39" spans="1:17" x14ac:dyDescent="0.25">
      <c r="B39" s="467" t="s">
        <v>211</v>
      </c>
      <c r="C39" s="307"/>
      <c r="D39" s="290"/>
      <c r="E39" s="290"/>
      <c r="F39" s="612"/>
      <c r="G39" s="603"/>
      <c r="H39" s="304"/>
      <c r="I39" s="305"/>
      <c r="J39" s="304"/>
      <c r="K39" s="305"/>
      <c r="L39" s="304"/>
      <c r="M39" s="305"/>
      <c r="N39" s="304"/>
      <c r="O39" s="305"/>
      <c r="P39" s="304"/>
      <c r="Q39" s="305"/>
    </row>
    <row r="40" spans="1:17" x14ac:dyDescent="0.25">
      <c r="B40" s="467" t="s">
        <v>196</v>
      </c>
      <c r="C40" s="307"/>
      <c r="D40" s="290"/>
      <c r="E40" s="290"/>
      <c r="F40" s="612"/>
      <c r="G40" s="603"/>
      <c r="H40" s="304"/>
      <c r="I40" s="305"/>
      <c r="J40" s="304"/>
      <c r="K40" s="305"/>
      <c r="L40" s="304"/>
      <c r="M40" s="305"/>
      <c r="N40" s="304"/>
      <c r="O40" s="305"/>
      <c r="P40" s="304"/>
      <c r="Q40" s="305"/>
    </row>
    <row r="41" spans="1:17" x14ac:dyDescent="0.25">
      <c r="B41" s="561" t="s">
        <v>700</v>
      </c>
      <c r="C41" s="307"/>
      <c r="D41" s="290"/>
      <c r="E41" s="290"/>
      <c r="F41" s="612"/>
      <c r="G41" s="603"/>
      <c r="H41" s="304"/>
      <c r="I41" s="305"/>
      <c r="J41" s="304"/>
      <c r="K41" s="305"/>
      <c r="L41" s="304"/>
      <c r="M41" s="305"/>
      <c r="N41" s="304"/>
      <c r="O41" s="305"/>
      <c r="P41" s="304"/>
      <c r="Q41" s="305"/>
    </row>
    <row r="42" spans="1:17" x14ac:dyDescent="0.25">
      <c r="B42" s="408" t="s">
        <v>95</v>
      </c>
      <c r="C42" s="307"/>
      <c r="D42" s="290"/>
      <c r="E42" s="290"/>
      <c r="F42" s="613"/>
      <c r="G42" s="289"/>
      <c r="H42" s="288"/>
      <c r="I42" s="289"/>
      <c r="J42" s="288"/>
      <c r="K42" s="289"/>
      <c r="L42" s="288"/>
      <c r="M42" s="289"/>
      <c r="N42" s="288"/>
      <c r="O42" s="289"/>
      <c r="P42" s="288"/>
      <c r="Q42" s="289"/>
    </row>
    <row r="43" spans="1:17" x14ac:dyDescent="0.25">
      <c r="B43" s="467" t="s">
        <v>98</v>
      </c>
      <c r="C43" s="307"/>
      <c r="D43" s="290"/>
      <c r="E43" s="290"/>
      <c r="F43" s="612"/>
      <c r="G43" s="603"/>
      <c r="H43" s="602"/>
      <c r="I43" s="603"/>
      <c r="J43" s="602"/>
      <c r="K43" s="603"/>
      <c r="L43" s="602"/>
      <c r="M43" s="603"/>
      <c r="N43" s="602"/>
      <c r="O43" s="603"/>
      <c r="P43" s="602"/>
      <c r="Q43" s="603"/>
    </row>
    <row r="44" spans="1:17" x14ac:dyDescent="0.25">
      <c r="B44" s="561" t="s">
        <v>794</v>
      </c>
      <c r="C44" s="307"/>
      <c r="D44" s="290"/>
      <c r="E44" s="290"/>
      <c r="F44" s="612"/>
      <c r="G44" s="603"/>
      <c r="H44" s="602"/>
      <c r="I44" s="603"/>
      <c r="J44" s="602"/>
      <c r="K44" s="603"/>
      <c r="L44" s="602"/>
      <c r="M44" s="603"/>
      <c r="N44" s="602"/>
      <c r="O44" s="603"/>
      <c r="P44" s="602"/>
      <c r="Q44" s="603"/>
    </row>
    <row r="45" spans="1:17" x14ac:dyDescent="0.25">
      <c r="B45" s="467" t="s">
        <v>101</v>
      </c>
      <c r="C45" s="307"/>
      <c r="D45" s="290"/>
      <c r="E45" s="611"/>
      <c r="F45" s="612"/>
      <c r="G45" s="603"/>
      <c r="H45" s="602"/>
      <c r="I45" s="603"/>
      <c r="J45" s="602"/>
      <c r="K45" s="603"/>
      <c r="L45" s="602"/>
      <c r="M45" s="603"/>
      <c r="N45" s="602"/>
      <c r="O45" s="603"/>
      <c r="P45" s="602"/>
      <c r="Q45" s="603"/>
    </row>
    <row r="46" spans="1:17" x14ac:dyDescent="0.25">
      <c r="B46" s="467" t="s">
        <v>104</v>
      </c>
      <c r="C46" s="307"/>
      <c r="D46" s="290"/>
      <c r="E46" s="611"/>
      <c r="F46" s="612"/>
      <c r="G46" s="603"/>
      <c r="H46" s="602"/>
      <c r="I46" s="603"/>
      <c r="J46" s="602"/>
      <c r="K46" s="603"/>
      <c r="L46" s="602"/>
      <c r="M46" s="603"/>
      <c r="N46" s="602"/>
      <c r="O46" s="603"/>
      <c r="P46" s="602"/>
      <c r="Q46" s="603"/>
    </row>
    <row r="47" spans="1:17" x14ac:dyDescent="0.25">
      <c r="B47" s="493" t="s">
        <v>106</v>
      </c>
      <c r="C47" s="314"/>
      <c r="D47" s="311"/>
      <c r="E47" s="311"/>
      <c r="F47" s="614"/>
      <c r="G47" s="303"/>
      <c r="H47" s="302"/>
      <c r="I47" s="303"/>
      <c r="J47" s="302"/>
      <c r="K47" s="303"/>
      <c r="L47" s="302"/>
      <c r="M47" s="303"/>
      <c r="N47" s="302"/>
      <c r="O47" s="303"/>
      <c r="P47" s="302"/>
      <c r="Q47" s="303"/>
    </row>
    <row r="48" spans="1:17" x14ac:dyDescent="0.25">
      <c r="B48" s="493" t="s">
        <v>109</v>
      </c>
      <c r="C48" s="314"/>
      <c r="D48" s="311"/>
      <c r="E48" s="311"/>
      <c r="F48" s="614"/>
      <c r="G48" s="303"/>
      <c r="H48" s="302"/>
      <c r="I48" s="303"/>
      <c r="J48" s="302"/>
      <c r="K48" s="303"/>
      <c r="L48" s="302"/>
      <c r="M48" s="303"/>
      <c r="N48" s="302"/>
      <c r="O48" s="303"/>
      <c r="P48" s="302"/>
      <c r="Q48" s="303"/>
    </row>
    <row r="49" spans="1:17" x14ac:dyDescent="0.25">
      <c r="B49" s="493" t="s">
        <v>114</v>
      </c>
      <c r="C49" s="314"/>
      <c r="D49" s="311"/>
      <c r="E49" s="311"/>
      <c r="F49" s="614"/>
      <c r="G49" s="303"/>
      <c r="H49" s="302"/>
      <c r="I49" s="303"/>
      <c r="J49" s="302"/>
      <c r="K49" s="303"/>
      <c r="L49" s="302"/>
      <c r="M49" s="303"/>
      <c r="N49" s="302"/>
      <c r="O49" s="303"/>
      <c r="P49" s="302"/>
      <c r="Q49" s="303"/>
    </row>
    <row r="50" spans="1:17" x14ac:dyDescent="0.25">
      <c r="B50" s="493" t="s">
        <v>118</v>
      </c>
      <c r="C50" s="307"/>
      <c r="D50" s="290"/>
      <c r="E50" s="290"/>
      <c r="F50" s="614"/>
      <c r="G50" s="303"/>
      <c r="H50" s="302"/>
      <c r="I50" s="303"/>
      <c r="J50" s="302"/>
      <c r="K50" s="303"/>
      <c r="L50" s="302"/>
      <c r="M50" s="303"/>
      <c r="N50" s="302"/>
      <c r="O50" s="303"/>
      <c r="P50" s="302"/>
      <c r="Q50" s="303"/>
    </row>
    <row r="51" spans="1:17" x14ac:dyDescent="0.25">
      <c r="B51" s="493" t="s">
        <v>121</v>
      </c>
      <c r="C51" s="307"/>
      <c r="D51" s="290"/>
      <c r="E51" s="290"/>
      <c r="F51" s="614"/>
      <c r="G51" s="303"/>
      <c r="H51" s="302"/>
      <c r="I51" s="303"/>
      <c r="J51" s="302"/>
      <c r="K51" s="303"/>
      <c r="L51" s="302"/>
      <c r="M51" s="303"/>
      <c r="N51" s="302"/>
      <c r="O51" s="303"/>
      <c r="P51" s="302"/>
      <c r="Q51" s="303"/>
    </row>
    <row r="52" spans="1:17" x14ac:dyDescent="0.25">
      <c r="B52" s="493" t="s">
        <v>122</v>
      </c>
      <c r="C52" s="307"/>
      <c r="D52" s="290"/>
      <c r="E52" s="290"/>
      <c r="F52" s="604"/>
      <c r="G52" s="310"/>
      <c r="H52" s="309"/>
      <c r="I52" s="310"/>
      <c r="J52" s="302"/>
      <c r="K52" s="303"/>
      <c r="L52" s="302"/>
      <c r="M52" s="303"/>
      <c r="N52" s="302"/>
      <c r="O52" s="303"/>
      <c r="P52" s="302"/>
      <c r="Q52" s="303"/>
    </row>
    <row r="53" spans="1:17" x14ac:dyDescent="0.25">
      <c r="B53" s="467" t="s">
        <v>123</v>
      </c>
      <c r="C53" s="307"/>
      <c r="D53" s="290"/>
      <c r="E53" s="611"/>
      <c r="F53" s="612"/>
      <c r="G53" s="603"/>
      <c r="H53" s="602"/>
      <c r="I53" s="603"/>
      <c r="J53" s="602"/>
      <c r="K53" s="603"/>
      <c r="L53" s="602"/>
      <c r="M53" s="603"/>
      <c r="N53" s="602"/>
      <c r="O53" s="603"/>
      <c r="P53" s="602"/>
      <c r="Q53" s="603"/>
    </row>
    <row r="54" spans="1:17" x14ac:dyDescent="0.25">
      <c r="A54" s="37" t="s">
        <v>45</v>
      </c>
      <c r="B54" s="455" t="s">
        <v>124</v>
      </c>
      <c r="C54" s="307"/>
      <c r="D54" s="290"/>
      <c r="E54" s="290"/>
      <c r="F54" s="619"/>
      <c r="G54" s="299"/>
      <c r="H54" s="298"/>
      <c r="I54" s="299"/>
      <c r="J54" s="298"/>
      <c r="K54" s="299"/>
      <c r="L54" s="298"/>
      <c r="M54" s="299"/>
      <c r="N54" s="298"/>
      <c r="O54" s="299"/>
      <c r="P54" s="298"/>
      <c r="Q54" s="299"/>
    </row>
    <row r="55" spans="1:17" x14ac:dyDescent="0.25">
      <c r="A55" s="37" t="s">
        <v>45</v>
      </c>
      <c r="B55" s="455" t="s">
        <v>129</v>
      </c>
      <c r="C55" s="307"/>
      <c r="D55" s="290"/>
      <c r="E55" s="290"/>
      <c r="F55" s="619"/>
      <c r="G55" s="299"/>
      <c r="H55" s="298"/>
      <c r="I55" s="299"/>
      <c r="J55" s="298"/>
      <c r="K55" s="299"/>
      <c r="L55" s="298"/>
      <c r="M55" s="299"/>
      <c r="N55" s="298"/>
      <c r="O55" s="299"/>
      <c r="P55" s="298"/>
      <c r="Q55" s="299"/>
    </row>
    <row r="56" spans="1:17" x14ac:dyDescent="0.25">
      <c r="B56" s="557" t="s">
        <v>130</v>
      </c>
      <c r="C56" s="307"/>
      <c r="D56" s="290"/>
      <c r="E56" s="290"/>
      <c r="F56" s="274"/>
      <c r="G56" s="292"/>
      <c r="H56" s="618"/>
      <c r="I56" s="617"/>
      <c r="J56" s="618"/>
      <c r="K56" s="617"/>
      <c r="L56" s="618"/>
      <c r="M56" s="617"/>
      <c r="N56" s="618"/>
      <c r="O56" s="617"/>
      <c r="P56" s="618"/>
      <c r="Q56" s="617"/>
    </row>
    <row r="57" spans="1:17" x14ac:dyDescent="0.25">
      <c r="B57" s="480" t="s">
        <v>275</v>
      </c>
      <c r="C57" s="307"/>
      <c r="D57" s="290"/>
      <c r="E57" s="290"/>
      <c r="F57" s="274"/>
      <c r="G57" s="292"/>
      <c r="H57" s="300"/>
      <c r="I57" s="301"/>
      <c r="J57" s="300"/>
      <c r="K57" s="301"/>
      <c r="L57" s="300"/>
      <c r="M57" s="301"/>
      <c r="N57" s="300"/>
      <c r="O57" s="301"/>
      <c r="P57" s="300"/>
      <c r="Q57" s="301"/>
    </row>
    <row r="58" spans="1:17" x14ac:dyDescent="0.25">
      <c r="B58" s="562" t="s">
        <v>793</v>
      </c>
      <c r="C58" s="307"/>
      <c r="D58" s="290"/>
      <c r="E58" s="290"/>
      <c r="F58" s="407"/>
      <c r="G58" s="292"/>
      <c r="H58" s="294"/>
      <c r="I58" s="295"/>
      <c r="J58" s="294"/>
      <c r="K58" s="295"/>
      <c r="L58" s="294"/>
      <c r="M58" s="295"/>
      <c r="N58" s="294"/>
      <c r="O58" s="295"/>
      <c r="P58" s="294"/>
      <c r="Q58" s="295"/>
    </row>
    <row r="59" spans="1:17" x14ac:dyDescent="0.25">
      <c r="B59" s="467" t="s">
        <v>276</v>
      </c>
      <c r="C59" s="307"/>
      <c r="D59" s="290"/>
      <c r="E59" s="290"/>
      <c r="F59" s="612"/>
      <c r="G59" s="603"/>
      <c r="H59" s="602"/>
      <c r="I59" s="603"/>
      <c r="J59" s="602"/>
      <c r="K59" s="603"/>
      <c r="L59" s="602"/>
      <c r="M59" s="603"/>
      <c r="N59" s="602"/>
      <c r="O59" s="603"/>
      <c r="P59" s="602"/>
      <c r="Q59" s="603"/>
    </row>
    <row r="60" spans="1:17" x14ac:dyDescent="0.25">
      <c r="B60" s="557" t="s">
        <v>287</v>
      </c>
      <c r="C60" s="307"/>
      <c r="D60" s="290"/>
      <c r="E60" s="290"/>
      <c r="F60" s="407"/>
      <c r="G60" s="292"/>
      <c r="H60" s="618"/>
      <c r="I60" s="617"/>
      <c r="J60" s="618"/>
      <c r="K60" s="617"/>
      <c r="L60" s="618"/>
      <c r="M60" s="617"/>
      <c r="N60" s="618"/>
      <c r="O60" s="617"/>
      <c r="P60" s="618"/>
      <c r="Q60" s="617"/>
    </row>
    <row r="61" spans="1:17" x14ac:dyDescent="0.25">
      <c r="A61" s="37" t="s">
        <v>45</v>
      </c>
      <c r="B61" s="455" t="s">
        <v>239</v>
      </c>
      <c r="C61" s="307"/>
      <c r="D61" s="290"/>
      <c r="E61" s="290"/>
      <c r="F61" s="619"/>
      <c r="G61" s="299"/>
      <c r="H61" s="298"/>
      <c r="I61" s="299"/>
      <c r="J61" s="298"/>
      <c r="K61" s="299"/>
      <c r="L61" s="298"/>
      <c r="M61" s="299"/>
      <c r="N61" s="298"/>
      <c r="O61" s="299"/>
      <c r="P61" s="298"/>
      <c r="Q61" s="299"/>
    </row>
    <row r="62" spans="1:17" x14ac:dyDescent="0.25">
      <c r="B62" s="432" t="s">
        <v>134</v>
      </c>
      <c r="C62" s="307"/>
      <c r="D62" s="290"/>
      <c r="E62" s="290"/>
      <c r="F62" s="620"/>
      <c r="G62" s="297"/>
      <c r="H62" s="296"/>
      <c r="I62" s="297"/>
      <c r="J62" s="296"/>
      <c r="K62" s="297"/>
      <c r="L62" s="296"/>
      <c r="M62" s="297"/>
      <c r="N62" s="296"/>
      <c r="O62" s="297"/>
      <c r="P62" s="296"/>
      <c r="Q62" s="297"/>
    </row>
    <row r="63" spans="1:17" x14ac:dyDescent="0.25">
      <c r="B63" s="432" t="s">
        <v>143</v>
      </c>
      <c r="C63" s="307"/>
      <c r="D63" s="290"/>
      <c r="E63" s="290"/>
      <c r="F63" s="620"/>
      <c r="G63" s="297"/>
      <c r="H63" s="296"/>
      <c r="I63" s="297"/>
      <c r="J63" s="296"/>
      <c r="K63" s="297"/>
      <c r="L63" s="296"/>
      <c r="M63" s="297"/>
      <c r="N63" s="296"/>
      <c r="O63" s="297"/>
      <c r="P63" s="296"/>
      <c r="Q63" s="297"/>
    </row>
    <row r="64" spans="1:17" x14ac:dyDescent="0.25">
      <c r="B64" s="444" t="s">
        <v>716</v>
      </c>
      <c r="C64" s="307"/>
      <c r="D64" s="290"/>
      <c r="E64" s="290"/>
      <c r="F64" s="620"/>
      <c r="G64" s="297"/>
      <c r="H64" s="296"/>
      <c r="I64" s="297"/>
      <c r="J64" s="296"/>
      <c r="K64" s="297"/>
      <c r="L64" s="296"/>
      <c r="M64" s="297"/>
      <c r="N64" s="296"/>
      <c r="O64" s="297"/>
      <c r="P64" s="296"/>
      <c r="Q64" s="297"/>
    </row>
    <row r="65" spans="2:17" x14ac:dyDescent="0.25">
      <c r="B65" s="432" t="s">
        <v>144</v>
      </c>
      <c r="C65" s="307"/>
      <c r="D65" s="290"/>
      <c r="E65" s="290"/>
      <c r="F65" s="604"/>
      <c r="G65" s="310"/>
      <c r="H65" s="309"/>
      <c r="I65" s="310"/>
      <c r="J65" s="309"/>
      <c r="K65" s="310"/>
      <c r="L65" s="309"/>
      <c r="M65" s="310"/>
      <c r="N65" s="296"/>
      <c r="O65" s="297"/>
      <c r="P65" s="296"/>
      <c r="Q65" s="297"/>
    </row>
    <row r="66" spans="2:17" x14ac:dyDescent="0.25">
      <c r="B66" s="432" t="s">
        <v>146</v>
      </c>
      <c r="C66" s="307"/>
      <c r="D66" s="290"/>
      <c r="E66" s="290"/>
      <c r="F66" s="604"/>
      <c r="G66" s="310"/>
      <c r="H66" s="309"/>
      <c r="I66" s="310"/>
      <c r="J66" s="309"/>
      <c r="K66" s="310"/>
      <c r="L66" s="309"/>
      <c r="M66" s="310"/>
      <c r="N66" s="296"/>
      <c r="O66" s="297"/>
      <c r="P66" s="296"/>
      <c r="Q66" s="297"/>
    </row>
    <row r="67" spans="2:17" x14ac:dyDescent="0.25">
      <c r="B67" s="432" t="s">
        <v>149</v>
      </c>
      <c r="C67" s="307"/>
      <c r="D67" s="290"/>
      <c r="E67" s="290"/>
      <c r="F67" s="604"/>
      <c r="G67" s="310"/>
      <c r="H67" s="309"/>
      <c r="I67" s="310"/>
      <c r="J67" s="296"/>
      <c r="K67" s="297"/>
      <c r="L67" s="296"/>
      <c r="M67" s="297"/>
      <c r="N67" s="296"/>
      <c r="O67" s="297"/>
      <c r="P67" s="296"/>
      <c r="Q67" s="297"/>
    </row>
    <row r="68" spans="2:17" x14ac:dyDescent="0.25">
      <c r="B68" s="444" t="s">
        <v>717</v>
      </c>
      <c r="C68" s="307"/>
      <c r="D68" s="290"/>
      <c r="E68" s="290"/>
      <c r="F68" s="620"/>
      <c r="G68" s="297"/>
      <c r="H68" s="296"/>
      <c r="I68" s="297"/>
      <c r="J68" s="296"/>
      <c r="K68" s="297"/>
      <c r="L68" s="296"/>
      <c r="M68" s="297"/>
      <c r="N68" s="296"/>
      <c r="O68" s="297"/>
      <c r="P68" s="296"/>
      <c r="Q68" s="297"/>
    </row>
    <row r="69" spans="2:17" x14ac:dyDescent="0.25">
      <c r="B69" s="445" t="s">
        <v>148</v>
      </c>
      <c r="C69" s="307"/>
      <c r="D69" s="290"/>
      <c r="E69" s="290"/>
      <c r="F69" s="604"/>
      <c r="G69" s="310"/>
      <c r="H69" s="296"/>
      <c r="I69" s="297"/>
      <c r="J69" s="296"/>
      <c r="K69" s="297"/>
      <c r="L69" s="296"/>
      <c r="M69" s="297"/>
      <c r="N69" s="296"/>
      <c r="O69" s="297"/>
      <c r="P69" s="296"/>
      <c r="Q69" s="297"/>
    </row>
    <row r="70" spans="2:17" x14ac:dyDescent="0.25">
      <c r="B70" s="533" t="s">
        <v>704</v>
      </c>
      <c r="C70" s="307"/>
      <c r="D70" s="290"/>
      <c r="E70" s="290"/>
      <c r="F70" s="612"/>
      <c r="G70" s="603"/>
      <c r="H70" s="602"/>
      <c r="I70" s="603"/>
      <c r="J70" s="602"/>
      <c r="K70" s="603"/>
      <c r="L70" s="602"/>
      <c r="M70" s="603"/>
      <c r="N70" s="602"/>
      <c r="O70" s="603"/>
      <c r="P70" s="602"/>
      <c r="Q70" s="603"/>
    </row>
    <row r="71" spans="2:17" x14ac:dyDescent="0.25">
      <c r="B71" s="561" t="s">
        <v>707</v>
      </c>
      <c r="C71" s="307"/>
      <c r="D71" s="290"/>
      <c r="E71" s="290"/>
      <c r="F71" s="612"/>
      <c r="G71" s="603"/>
      <c r="H71" s="602"/>
      <c r="I71" s="603"/>
      <c r="J71" s="602"/>
      <c r="K71" s="603"/>
      <c r="L71" s="602"/>
      <c r="M71" s="603"/>
      <c r="N71" s="602"/>
      <c r="O71" s="603"/>
      <c r="P71" s="602"/>
      <c r="Q71" s="603"/>
    </row>
    <row r="72" spans="2:17" x14ac:dyDescent="0.25">
      <c r="B72" s="561" t="s">
        <v>708</v>
      </c>
      <c r="C72" s="307"/>
      <c r="D72" s="290"/>
      <c r="E72" s="290"/>
      <c r="F72" s="612"/>
      <c r="G72" s="603"/>
      <c r="H72" s="602"/>
      <c r="I72" s="603"/>
      <c r="J72" s="602"/>
      <c r="K72" s="603"/>
      <c r="L72" s="602"/>
      <c r="M72" s="603"/>
      <c r="N72" s="602"/>
      <c r="O72" s="603"/>
      <c r="P72" s="602"/>
      <c r="Q72" s="603"/>
    </row>
    <row r="73" spans="2:17" x14ac:dyDescent="0.25">
      <c r="B73" s="561" t="s">
        <v>710</v>
      </c>
      <c r="C73" s="307"/>
      <c r="D73" s="290"/>
      <c r="E73" s="290"/>
      <c r="F73" s="612"/>
      <c r="G73" s="603"/>
      <c r="H73" s="602"/>
      <c r="I73" s="603"/>
      <c r="J73" s="602"/>
      <c r="K73" s="603"/>
      <c r="L73" s="602"/>
      <c r="M73" s="603"/>
      <c r="N73" s="602"/>
      <c r="O73" s="603"/>
      <c r="P73" s="602"/>
      <c r="Q73" s="603"/>
    </row>
    <row r="74" spans="2:17" x14ac:dyDescent="0.25">
      <c r="B74" s="561" t="s">
        <v>720</v>
      </c>
      <c r="C74" s="307"/>
      <c r="D74" s="290"/>
      <c r="E74" s="290"/>
      <c r="F74" s="604"/>
      <c r="G74" s="310"/>
      <c r="H74" s="309"/>
      <c r="I74" s="310"/>
      <c r="J74" s="602"/>
      <c r="K74" s="603"/>
      <c r="L74" s="602"/>
      <c r="M74" s="603"/>
      <c r="N74" s="602"/>
      <c r="O74" s="603"/>
      <c r="P74" s="602"/>
      <c r="Q74" s="603"/>
    </row>
    <row r="75" spans="2:17" x14ac:dyDescent="0.25">
      <c r="B75" s="506" t="s">
        <v>480</v>
      </c>
      <c r="C75" s="307"/>
      <c r="D75" s="290"/>
      <c r="E75" s="290"/>
      <c r="F75" s="604"/>
      <c r="G75" s="310"/>
      <c r="H75" s="618"/>
      <c r="I75" s="617"/>
      <c r="J75" s="618"/>
      <c r="K75" s="617"/>
      <c r="L75" s="618"/>
      <c r="M75" s="617"/>
      <c r="N75" s="618"/>
      <c r="O75" s="617"/>
      <c r="P75" s="618"/>
      <c r="Q75" s="617"/>
    </row>
    <row r="76" spans="2:17" x14ac:dyDescent="0.25">
      <c r="B76" s="506" t="s">
        <v>479</v>
      </c>
      <c r="C76" s="307"/>
      <c r="D76" s="290"/>
      <c r="E76" s="290"/>
      <c r="F76" s="604"/>
      <c r="G76" s="310"/>
      <c r="H76" s="618"/>
      <c r="I76" s="617"/>
      <c r="J76" s="618"/>
      <c r="K76" s="617"/>
      <c r="L76" s="618"/>
      <c r="M76" s="617"/>
      <c r="N76" s="618"/>
      <c r="O76" s="617"/>
      <c r="P76" s="618"/>
      <c r="Q76" s="617"/>
    </row>
    <row r="77" spans="2:17" x14ac:dyDescent="0.25">
      <c r="B77" s="517" t="s">
        <v>719</v>
      </c>
      <c r="C77" s="307"/>
      <c r="D77" s="290"/>
      <c r="E77" s="615"/>
      <c r="F77" s="616"/>
      <c r="G77" s="617"/>
      <c r="H77" s="309"/>
      <c r="I77" s="310"/>
      <c r="J77" s="309"/>
      <c r="K77" s="310"/>
      <c r="L77" s="309"/>
      <c r="M77" s="310"/>
      <c r="N77" s="309"/>
      <c r="O77" s="310"/>
      <c r="P77" s="309"/>
      <c r="Q77" s="310"/>
    </row>
    <row r="78" spans="2:17" x14ac:dyDescent="0.25">
      <c r="B78" s="517" t="s">
        <v>800</v>
      </c>
      <c r="C78" s="307"/>
      <c r="D78" s="290"/>
      <c r="E78" s="290"/>
      <c r="F78" s="604"/>
      <c r="G78" s="310"/>
      <c r="H78" s="618"/>
      <c r="I78" s="617"/>
      <c r="J78" s="618"/>
      <c r="K78" s="617"/>
      <c r="L78" s="618"/>
      <c r="M78" s="617"/>
      <c r="N78" s="618"/>
      <c r="O78" s="617"/>
      <c r="P78" s="618"/>
      <c r="Q78" s="617"/>
    </row>
    <row r="79" spans="2:17" x14ac:dyDescent="0.25">
      <c r="B79" s="525" t="s">
        <v>478</v>
      </c>
      <c r="C79" s="307"/>
      <c r="D79" s="290"/>
      <c r="E79" s="621"/>
      <c r="F79" s="614"/>
      <c r="G79" s="303"/>
      <c r="H79" s="302"/>
      <c r="I79" s="303"/>
      <c r="J79" s="302"/>
      <c r="K79" s="303"/>
      <c r="L79" s="302"/>
      <c r="M79" s="303"/>
      <c r="N79" s="302"/>
      <c r="O79" s="303"/>
      <c r="P79" s="302"/>
      <c r="Q79" s="303"/>
    </row>
    <row r="80" spans="2:17" x14ac:dyDescent="0.25">
      <c r="B80" s="541" t="s">
        <v>477</v>
      </c>
      <c r="C80" s="307"/>
      <c r="D80" s="290"/>
      <c r="E80" s="290"/>
      <c r="F80" s="604"/>
      <c r="G80" s="310"/>
      <c r="H80" s="309"/>
      <c r="I80" s="310"/>
      <c r="J80" s="309"/>
      <c r="K80" s="310"/>
      <c r="L80" s="300"/>
      <c r="M80" s="301"/>
      <c r="N80" s="300"/>
      <c r="O80" s="301"/>
      <c r="P80" s="300"/>
      <c r="Q80" s="301"/>
    </row>
  </sheetData>
  <mergeCells count="20">
    <mergeCell ref="C34:E34"/>
    <mergeCell ref="C35:E35"/>
    <mergeCell ref="C30:E30"/>
    <mergeCell ref="C31:E31"/>
    <mergeCell ref="C32:E32"/>
    <mergeCell ref="C33:E33"/>
    <mergeCell ref="C24:E24"/>
    <mergeCell ref="C25:E25"/>
    <mergeCell ref="C26:E26"/>
    <mergeCell ref="C27:E27"/>
    <mergeCell ref="N4:O4"/>
    <mergeCell ref="C20:E20"/>
    <mergeCell ref="C21:E21"/>
    <mergeCell ref="C22:E22"/>
    <mergeCell ref="C23:E23"/>
    <mergeCell ref="P4:Q4"/>
    <mergeCell ref="F4:G4"/>
    <mergeCell ref="H4:I4"/>
    <mergeCell ref="J4:K4"/>
    <mergeCell ref="L4:M4"/>
  </mergeCells>
  <hyperlinks>
    <hyperlink ref="V13" location="'ADU-110'!A1" display="'ADU-110'!A1"/>
    <hyperlink ref="V14" location="'ADU-111'!A1" display="'ADU-111'!A1"/>
    <hyperlink ref="V15" location="'ADU-112'!A1" display="'ADU-112'!A1"/>
    <hyperlink ref="W5" location="'ADU-113'!A1" display="'ADU-113'!A1"/>
    <hyperlink ref="S5" location="'ADO-1'!A1" display="'ADO-1'!A1"/>
    <hyperlink ref="S6" location="'ADO-2'!A1" display="'ADO-2'!A1"/>
    <hyperlink ref="S7" location="'ADO-3'!A1" display="'ADO-3'!A1"/>
    <hyperlink ref="S8" location="'ADO-4'!A1" display="'ADO-4'!A1"/>
    <hyperlink ref="S9" location="'ADO-5'!A1" display="'ADO-5'!A1"/>
    <hyperlink ref="S10" location="'ADO-6'!A1" display="'ADO-6'!A1"/>
    <hyperlink ref="S11" location="'ADO-7'!A1" display="'ADO-7'!A1"/>
    <hyperlink ref="S12" location="'ADO-8'!A1" display="'ADO-8'!A1"/>
    <hyperlink ref="S13" location="'ADO-9'!A1" display="'ADO-9'!A1"/>
    <hyperlink ref="S14" location="'ADO-10'!A1" display="'ADO-10'!A1"/>
    <hyperlink ref="S15" location="'ADO-11'!A1" display="'ADO-11'!A1"/>
    <hyperlink ref="U5" location="'ADU-1'!A1" display="'ADU-1'!A1"/>
    <hyperlink ref="U6" location="'ADU-2'!A1" display="'ADU-2'!A1"/>
    <hyperlink ref="U9" location="'ADO-3'!A1" display="'ADO-3'!A1"/>
    <hyperlink ref="V5" location="'ADU-5'!A1" display="'ADU-5'!A1"/>
    <hyperlink ref="V6" location="'ADU-6'!A1" display="'ADU-6'!A1"/>
    <hyperlink ref="V7" location="'ADU-61'!A1" display="'ADU-61'!A1"/>
    <hyperlink ref="V9" location="'ADU-7'!A1" display="'ADU-7'!A1"/>
    <hyperlink ref="V10" location="'ADU-8'!A1" display="'ADU-8'!A1"/>
    <hyperlink ref="V11" location="'ADU-9'!A1" display="'ADU-9'!A1"/>
    <hyperlink ref="V12" location="'ADU-10'!A1" display="'ADU-10'!A1"/>
    <hyperlink ref="W7" location="'ADU-12'!A1" display="'ADU-12'!A1"/>
    <hyperlink ref="W8" location="'ADU-13'!A1" display="'ADU-13'!A1"/>
    <hyperlink ref="W10" location="'ADU-14'!A1" display="'ADU-14'!A1"/>
    <hyperlink ref="W11" location="'ADU-15'!A1" display="'ADU-15'!A1"/>
    <hyperlink ref="W12" location="'ADU-16'!A1" display="'ADU-16'!A1"/>
    <hyperlink ref="W13" location="'ADU-17'!A1" display="'ADU-17'!A1"/>
    <hyperlink ref="W14" location="'ADU-18'!A1" display="'ADU-18'!A1"/>
    <hyperlink ref="W15" location="'ADU-19'!A1" display="'ADU-19'!A1"/>
    <hyperlink ref="X5" location="'ADU-20'!A1" display="'ADU-20'!A1"/>
    <hyperlink ref="X6" location="'ADU-21'!A1" display="'ADU-21'!A1"/>
    <hyperlink ref="X7" location="'ADU-22'!A1" display="'ADU-22'!A1"/>
    <hyperlink ref="X8" location="'ADU-23'!A1" display="'ADU-23'!A1"/>
    <hyperlink ref="X9" location="'ADU-24'!A1" display="'ADU-24'!A1"/>
    <hyperlink ref="X10" location="'ADU-25'!A1" display="'ADU-25'!A1"/>
    <hyperlink ref="X11" location="'ADU-26'!A1" display="'ADU-26'!A1"/>
    <hyperlink ref="X13" location="'ADU-27'!A1" display="'ADU-27'!A1"/>
    <hyperlink ref="X14" location="'ADU-28'!A1" display="'ADU-28'!A1"/>
    <hyperlink ref="X15" location="'ADU-29'!A1" display="'ADU-29'!A1"/>
    <hyperlink ref="Y5" location="'ADU-30'!A1" display="'ADU-30'!A1"/>
    <hyperlink ref="Y6" location="'ADU-31'!A1" display="'ADU-31'!A1"/>
    <hyperlink ref="Y8" location="'ADU-32'!A1" display="'ADU-32'!A1"/>
    <hyperlink ref="Y9" location="'ADU-33'!A1" display="'ADU-33'!A1"/>
    <hyperlink ref="Y10" location="'ADU-34'!A1" display="'ADU-34'!A1"/>
    <hyperlink ref="Y12" location="'ADU-35'!A1" display="'ADU-35'!A1"/>
    <hyperlink ref="Z5" location="'ADU-361'!A1" display="ADU-361"/>
    <hyperlink ref="Z10" location="'ADU-37'!A1" display="'ADU-37'!A1"/>
    <hyperlink ref="Z11" location="'ADU-38'!A1" display="'ADU-38'!A1"/>
    <hyperlink ref="Z14" location="'ADU-39'!A1" display="'ADU-39'!A1"/>
    <hyperlink ref="Z15" location="'ADU-40'!A1" display="ADU-40"/>
    <hyperlink ref="T5" location="'ADO-12'!A1" display="ADO-12"/>
    <hyperlink ref="T6" location="'ADO-13'!A1" display="ADO-13"/>
    <hyperlink ref="T7" location="'ADO-14'!A1" display="ADO-14"/>
    <hyperlink ref="T8" location="'ADO-15'!A1" display="ADO-15"/>
    <hyperlink ref="U7" location="'ADU-221'!A1" display="ADU-221"/>
    <hyperlink ref="U8" location="'ADU-222'!A1" display="ADU-222"/>
    <hyperlink ref="U10" location="'ADU-41'!A1" display="ADU-41"/>
    <hyperlink ref="U11" location="'ADU-42'!A1" display="ADU-42"/>
    <hyperlink ref="U12" location="'ADU-43'!A1" display="ADU-43"/>
    <hyperlink ref="W6" location="'ADU-114'!A1" display="ADU-114"/>
    <hyperlink ref="Y7" location="'ADU-311'!A1" display="ADU-311"/>
    <hyperlink ref="Y11" location="'ADU-341'!A1" display="ADU-341"/>
    <hyperlink ref="Z6" location="'ADU-362'!A1" display="ADU-362"/>
    <hyperlink ref="Z7" location="'ADU-363'!A1" display="ADU-363"/>
    <hyperlink ref="Z8" location="'ADU-364'!A1" display="ADU-364"/>
    <hyperlink ref="Z9" location="'ADU-365'!A1" display="ADU-365"/>
    <hyperlink ref="Z12" location="'ADU-381'!A1" display="ADU-381"/>
    <hyperlink ref="U13" location="'ADU-44'!A1" display="ADU-44"/>
    <hyperlink ref="W9" location="'ADU-131'!A1" display="ADU-131"/>
    <hyperlink ref="X12" location="'ADU-261'!A1" display="ADU-261"/>
    <hyperlink ref="Z13" location="'ADU-389'!A1" display="ADU-389"/>
    <hyperlink ref="B5" location="'ADO-1'!A1" display="'ADO-1'!A1"/>
    <hyperlink ref="B6" location="'ADO-2'!A1" display="'ADO-2'!A1"/>
    <hyperlink ref="B7" location="'ADO-3'!A1" display="'ADO-3'!A1"/>
    <hyperlink ref="B8" location="'ADO-4'!A1" display="'ADO-4'!A1"/>
    <hyperlink ref="B9" location="'ADO-5'!A1" display="'ADO-5'!A1"/>
    <hyperlink ref="B10" location="'ADO-6'!A1" display="'ADO-6'!A1"/>
    <hyperlink ref="B11" location="'ADO-7'!A1" display="'ADO-7'!A1"/>
    <hyperlink ref="B12" location="'ADO-8'!A1" display="'ADO-8'!A1"/>
    <hyperlink ref="B13" location="'ADO-9'!A1" display="'ADO-9'!A1"/>
    <hyperlink ref="B14" location="'ADO-10'!A1" display="'ADO-10'!A1"/>
    <hyperlink ref="B15" location="'ADO-11'!A1" display="'ADO-11'!A1"/>
    <hyperlink ref="B20" location="'ADU-1'!A1" display="'ADU-1'!A1"/>
    <hyperlink ref="B21" location="'ADU-2'!A1" display="'ADU-2'!A1"/>
    <hyperlink ref="B25" location="'ADU-3'!A1" display="ADU-3"/>
    <hyperlink ref="B30" location="'ADU-5'!A1" display="'ADU-5'!A1"/>
    <hyperlink ref="B31" location="'ADU-6'!A1" display="'ADU-6'!A1"/>
    <hyperlink ref="B32" location="'ADU-61'!A1" display="'ADU-61'!A1"/>
    <hyperlink ref="B33" location="'ADU-7'!A1" display="'ADU-7'!A1"/>
    <hyperlink ref="B34" location="'ADU-8'!A1" display="'ADU-8'!A1"/>
    <hyperlink ref="B35" location="'ADU-9'!A1" display="'ADU-9'!A1"/>
    <hyperlink ref="B36" location="'ADU-10'!A1" display="'ADU-10'!A1"/>
    <hyperlink ref="B37" location="'ADU-110'!A1" display="'ADU-110'!A1"/>
    <hyperlink ref="B38" location="'ADU-111'!A1" display="'ADU-111'!A1"/>
    <hyperlink ref="B39" location="'ADU-112'!A1" display="'ADU-112'!A1"/>
    <hyperlink ref="B40" location="'ADU-113'!A1" display="'ADU-113'!A1"/>
    <hyperlink ref="B42" location="'ADU-12'!A1" display="'ADU-12'!A1"/>
    <hyperlink ref="B43" location="'ADU-13'!A1" display="'ADU-13'!A1"/>
    <hyperlink ref="B45" location="'ADU-14'!A1" display="'ADU-14'!A1"/>
    <hyperlink ref="B46" location="'ADU-15'!A1" display="'ADU-15'!A1"/>
    <hyperlink ref="B47" location="'ADU-16'!A1" display="'ADU-16'!A1"/>
    <hyperlink ref="B48" location="'ADU-17'!A1" display="'ADU-17'!A1"/>
    <hyperlink ref="B49" location="'ADU-18'!A1" display="'ADU-18'!A1"/>
    <hyperlink ref="B50" location="'ADU-19'!A1" display="'ADU-19'!A1"/>
    <hyperlink ref="B51" location="'ADU-20'!A1" display="'ADU-20'!A1"/>
    <hyperlink ref="B52" location="'ADU-21'!A1" display="'ADU-21'!A1"/>
    <hyperlink ref="B53" location="'ADU-22'!A1" display="'ADU-22'!A1"/>
    <hyperlink ref="B54" location="'ADU-23'!A1" display="'ADU-23'!A1"/>
    <hyperlink ref="B55" location="'ADU-24'!A1" display="'ADU-24'!A1"/>
    <hyperlink ref="B56" location="'ADU-25'!A1" display="'ADU-25'!A1"/>
    <hyperlink ref="B57" location="'ADU-26'!A1" display="'ADU-26'!A1"/>
    <hyperlink ref="B59" location="'ADU-27'!A1" display="'ADU-27'!A1"/>
    <hyperlink ref="B60" location="'ADU-28'!A1" display="'ADU-28'!A1"/>
    <hyperlink ref="B61" location="'ADU-29'!A1" display="'ADU-29'!A1"/>
    <hyperlink ref="B62" location="'ADU-30'!A1" display="'ADU-30'!A1"/>
    <hyperlink ref="B63" location="'ADU-31'!A1" display="'ADU-31'!A1"/>
    <hyperlink ref="B65" location="'ADU-32'!A1" display="'ADU-32'!A1"/>
    <hyperlink ref="B66" location="'ADU-33'!A1" display="'ADU-33'!A1"/>
    <hyperlink ref="B67" location="'ADU-34'!A1" display="'ADU-34'!A1"/>
    <hyperlink ref="B69" location="'ADU-35'!A1" display="'ADU-35'!A1"/>
    <hyperlink ref="B75" location="'ADU-37'!A1" display="'ADU-37'!A1"/>
    <hyperlink ref="B76" location="'ADU-38'!A1" display="'ADU-38'!A1"/>
    <hyperlink ref="B79" location="'ADU-39'!A1" display="'ADU-39'!A1"/>
    <hyperlink ref="B80" location="'ADU-40'!A1" display="'ADU-40'!A1"/>
    <hyperlink ref="B16" location="'ADO-12'!A1" display="ADO-12"/>
    <hyperlink ref="B17" location="'ADO-13'!A1" display="ADO-13"/>
    <hyperlink ref="B18" location="'ADO-14'!A1" display="ADO-14"/>
    <hyperlink ref="B19" location="'ADO-15'!A1" display="ADO-15"/>
    <hyperlink ref="B22" location="'ADU-221'!A1" display="ADU-221"/>
    <hyperlink ref="B23" location="'ADU-222'!A1" display="ADU-222"/>
    <hyperlink ref="B26" location="'ADU-41'!A1" display="ADU-41"/>
    <hyperlink ref="B27" location="'ADU-42'!A1" display="ADU-42"/>
    <hyperlink ref="B28" location="'ADU-43'!A1" display="ADU-43"/>
    <hyperlink ref="B41" location="'ADU-114'!A1" display="ADU-114"/>
    <hyperlink ref="B64" location="'ADU-311'!A1" display="ADU-311"/>
    <hyperlink ref="B68" location="'ADU-341'!A1" display="ADU-341"/>
    <hyperlink ref="B70" location="'ADU-361'!A1" display="ADU-361"/>
    <hyperlink ref="B71" location="'ADU-362'!A1" display="ADU-362"/>
    <hyperlink ref="B72" location="'ADU-363'!A1" display="ADU-363"/>
    <hyperlink ref="B73" location="'ADU-364'!A1" display="ADU-364"/>
    <hyperlink ref="B74" location="'ADU-365'!A1" display="ADU-365"/>
    <hyperlink ref="B77" location="'ADU-381'!A1" display="ADU-381"/>
    <hyperlink ref="B29" location="'ADU-44'!A1" display="ADU-44"/>
    <hyperlink ref="B24" location="'ADU-223'!A1" display="ADU-223"/>
    <hyperlink ref="B44" location="'ADU-131'!A1" display="ADU-131"/>
    <hyperlink ref="B58" location="'ADU-261'!A1" display="ADU-261"/>
    <hyperlink ref="B78" location="'ADU-389'!A1" display="ADU-389"/>
  </hyperlinks>
  <pageMargins left="0.7" right="0.7" top="0.75" bottom="0.75" header="0.3" footer="0.3"/>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1"/>
  <sheetViews>
    <sheetView workbookViewId="0">
      <selection activeCell="B21" sqref="B21:C21"/>
    </sheetView>
  </sheetViews>
  <sheetFormatPr baseColWidth="10" defaultRowHeight="15" x14ac:dyDescent="0.25"/>
  <sheetData>
    <row r="2" spans="2:3" ht="15.75" thickBot="1" x14ac:dyDescent="0.3"/>
    <row r="3" spans="2:3" ht="15.75" thickBot="1" x14ac:dyDescent="0.3">
      <c r="B3" s="388">
        <v>7.5</v>
      </c>
      <c r="C3" s="389">
        <v>28842</v>
      </c>
    </row>
    <row r="4" spans="2:3" ht="15.75" thickBot="1" x14ac:dyDescent="0.3">
      <c r="B4" s="390">
        <v>890.4</v>
      </c>
      <c r="C4" s="391">
        <v>2439500</v>
      </c>
    </row>
    <row r="5" spans="2:3" ht="15.75" thickBot="1" x14ac:dyDescent="0.3">
      <c r="B5" s="390">
        <v>20.2</v>
      </c>
      <c r="C5" s="391">
        <v>55250</v>
      </c>
    </row>
    <row r="6" spans="2:3" ht="15.75" thickBot="1" x14ac:dyDescent="0.3">
      <c r="B6" s="390">
        <v>14.3</v>
      </c>
      <c r="C6" s="391">
        <v>39100</v>
      </c>
    </row>
    <row r="7" spans="2:3" ht="15.75" thickBot="1" x14ac:dyDescent="0.3">
      <c r="B7" s="390">
        <v>46.5</v>
      </c>
      <c r="C7" s="391">
        <v>127500</v>
      </c>
    </row>
    <row r="8" spans="2:3" ht="15.75" thickBot="1" x14ac:dyDescent="0.3">
      <c r="B8" s="390">
        <v>325.10000000000002</v>
      </c>
      <c r="C8" s="391">
        <v>1131909</v>
      </c>
    </row>
    <row r="9" spans="2:3" ht="15.75" thickBot="1" x14ac:dyDescent="0.3">
      <c r="B9" s="390">
        <v>52.9</v>
      </c>
      <c r="C9" s="391">
        <v>145000</v>
      </c>
    </row>
    <row r="10" spans="2:3" ht="15.75" thickBot="1" x14ac:dyDescent="0.3">
      <c r="B10" s="390">
        <v>16.8</v>
      </c>
      <c r="C10" s="391">
        <v>45990</v>
      </c>
    </row>
    <row r="11" spans="2:3" ht="15.75" thickBot="1" x14ac:dyDescent="0.3">
      <c r="B11" s="390">
        <v>33.6</v>
      </c>
      <c r="C11" s="391">
        <v>91980</v>
      </c>
    </row>
    <row r="12" spans="2:3" ht="15.75" thickBot="1" x14ac:dyDescent="0.3">
      <c r="B12" s="390">
        <v>50.4</v>
      </c>
      <c r="C12" s="391">
        <v>137970</v>
      </c>
    </row>
    <row r="13" spans="2:3" ht="15.75" thickBot="1" x14ac:dyDescent="0.3">
      <c r="B13" s="390">
        <v>35.799999999999997</v>
      </c>
      <c r="C13" s="391">
        <v>137000</v>
      </c>
    </row>
    <row r="14" spans="2:3" ht="15.75" thickBot="1" x14ac:dyDescent="0.3">
      <c r="B14" s="390">
        <v>9.3000000000000007</v>
      </c>
      <c r="C14" s="391">
        <v>35500</v>
      </c>
    </row>
    <row r="15" spans="2:3" ht="15.75" thickBot="1" x14ac:dyDescent="0.3">
      <c r="B15" s="392">
        <v>1070.4000000000001</v>
      </c>
      <c r="C15" s="391">
        <v>4100965</v>
      </c>
    </row>
    <row r="16" spans="2:3" ht="15.75" thickBot="1" x14ac:dyDescent="0.3">
      <c r="B16" s="390">
        <v>2.1</v>
      </c>
      <c r="C16" s="391">
        <v>18080</v>
      </c>
    </row>
    <row r="17" spans="2:3" ht="15.75" thickBot="1" x14ac:dyDescent="0.3">
      <c r="B17" s="390">
        <v>991.8</v>
      </c>
      <c r="C17" s="391">
        <v>3800000</v>
      </c>
    </row>
    <row r="18" spans="2:3" ht="15.75" thickBot="1" x14ac:dyDescent="0.3">
      <c r="B18" s="390">
        <v>118.8</v>
      </c>
      <c r="C18" s="391">
        <v>455000</v>
      </c>
    </row>
    <row r="19" spans="2:3" ht="15.75" thickBot="1" x14ac:dyDescent="0.3">
      <c r="B19" s="390">
        <v>405</v>
      </c>
      <c r="C19" s="393"/>
    </row>
    <row r="20" spans="2:3" ht="15.75" thickBot="1" x14ac:dyDescent="0.3">
      <c r="B20" s="390">
        <v>120.4</v>
      </c>
      <c r="C20" s="391">
        <v>329966</v>
      </c>
    </row>
    <row r="21" spans="2:3" x14ac:dyDescent="0.25">
      <c r="B21">
        <f>SUM(B3:B20)</f>
        <v>4211.2999999999993</v>
      </c>
      <c r="C21" s="37">
        <f>SUM(C3:C20)</f>
        <v>13119552</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44"/>
  <sheetViews>
    <sheetView topLeftCell="C1" zoomScale="115" zoomScaleNormal="115" zoomScaleSheetLayoutView="220" workbookViewId="0">
      <selection activeCell="G4" sqref="G4:I4"/>
    </sheetView>
  </sheetViews>
  <sheetFormatPr baseColWidth="10" defaultRowHeight="15" x14ac:dyDescent="0.25"/>
  <cols>
    <col min="1" max="1" width="40.7109375" style="39" customWidth="1"/>
    <col min="2" max="2" width="16.7109375" style="39" customWidth="1"/>
    <col min="3" max="3" width="17.140625" style="39" customWidth="1"/>
    <col min="4" max="4" width="5.5703125" style="39" bestFit="1" customWidth="1"/>
    <col min="5" max="5" width="17.42578125" style="39" customWidth="1"/>
    <col min="6" max="6" width="1.140625" style="39" customWidth="1"/>
    <col min="7" max="16384" width="11.42578125" style="39"/>
  </cols>
  <sheetData>
    <row r="1" spans="1:9" ht="21" x14ac:dyDescent="0.35">
      <c r="A1" s="11" t="s">
        <v>87</v>
      </c>
      <c r="B1" s="11"/>
      <c r="C1" s="11"/>
      <c r="D1" s="11"/>
      <c r="E1" s="11"/>
    </row>
    <row r="2" spans="1:9" ht="26.25" x14ac:dyDescent="0.4">
      <c r="A2" s="856" t="s">
        <v>913</v>
      </c>
      <c r="B2" s="856"/>
      <c r="C2" s="856"/>
      <c r="D2" s="856"/>
      <c r="E2" s="856"/>
    </row>
    <row r="3" spans="1:9" ht="27" thickBot="1" x14ac:dyDescent="0.45">
      <c r="A3" s="40"/>
      <c r="B3" s="40"/>
      <c r="C3" s="40"/>
      <c r="D3" s="40"/>
      <c r="E3" s="40"/>
    </row>
    <row r="4" spans="1:9" ht="15.75" thickBot="1" x14ac:dyDescent="0.3">
      <c r="A4" s="76"/>
      <c r="B4" s="234" t="s">
        <v>469</v>
      </c>
      <c r="C4" s="851" t="s">
        <v>611</v>
      </c>
      <c r="D4" s="852"/>
      <c r="E4" s="174" t="s">
        <v>190</v>
      </c>
      <c r="G4" s="848" t="s">
        <v>914</v>
      </c>
      <c r="H4" s="848"/>
      <c r="I4" s="848"/>
    </row>
    <row r="5" spans="1:9" ht="18.75" customHeight="1" x14ac:dyDescent="0.25">
      <c r="A5" s="381" t="s">
        <v>651</v>
      </c>
      <c r="B5" s="382" t="s">
        <v>50</v>
      </c>
      <c r="C5" s="857" t="s">
        <v>18</v>
      </c>
      <c r="D5" s="857"/>
      <c r="E5" s="232" t="s">
        <v>21</v>
      </c>
      <c r="G5" s="848" t="s">
        <v>915</v>
      </c>
      <c r="H5" s="848"/>
      <c r="I5" s="848"/>
    </row>
    <row r="6" spans="1:9" ht="16.5" thickBot="1" x14ac:dyDescent="0.3">
      <c r="A6" s="379" t="s">
        <v>660</v>
      </c>
      <c r="B6" s="380" t="s">
        <v>658</v>
      </c>
      <c r="C6" s="77"/>
      <c r="D6" s="77"/>
      <c r="E6" s="77"/>
      <c r="G6" s="850" t="s">
        <v>916</v>
      </c>
      <c r="H6" s="850"/>
      <c r="I6" s="850"/>
    </row>
    <row r="7" spans="1:9" ht="24" customHeight="1" thickBot="1" x14ac:dyDescent="0.3">
      <c r="A7" s="221" t="s">
        <v>1</v>
      </c>
      <c r="B7" s="857" t="s">
        <v>43</v>
      </c>
      <c r="C7" s="857"/>
      <c r="D7" s="857"/>
      <c r="E7" s="857"/>
    </row>
    <row r="8" spans="1:9" ht="24" customHeight="1" thickBot="1" x14ac:dyDescent="0.3">
      <c r="A8" s="222" t="s">
        <v>0</v>
      </c>
      <c r="B8" s="857" t="s">
        <v>78</v>
      </c>
      <c r="C8" s="857"/>
      <c r="D8" s="857"/>
      <c r="E8" s="857"/>
    </row>
    <row r="9" spans="1:9" ht="99.75" customHeight="1" x14ac:dyDescent="0.25">
      <c r="A9" s="223" t="s">
        <v>2</v>
      </c>
      <c r="B9" s="877" t="s">
        <v>755</v>
      </c>
      <c r="C9" s="878"/>
      <c r="D9" s="878"/>
      <c r="E9" s="879"/>
    </row>
    <row r="10" spans="1:9" ht="31.5" customHeight="1" x14ac:dyDescent="0.25">
      <c r="A10" s="224" t="s">
        <v>31</v>
      </c>
      <c r="B10" s="854"/>
      <c r="C10" s="855"/>
      <c r="D10" s="855"/>
      <c r="E10" s="855"/>
    </row>
    <row r="11" spans="1:9" ht="30" customHeight="1" x14ac:dyDescent="0.25">
      <c r="A11" s="225" t="s">
        <v>16</v>
      </c>
      <c r="B11" s="858" t="s">
        <v>86</v>
      </c>
      <c r="C11" s="858"/>
      <c r="D11" s="858"/>
      <c r="E11" s="858"/>
    </row>
    <row r="12" spans="1:9" ht="30" customHeight="1" x14ac:dyDescent="0.25">
      <c r="A12" s="225" t="s">
        <v>3</v>
      </c>
      <c r="B12" s="858"/>
      <c r="C12" s="858"/>
      <c r="D12" s="858"/>
      <c r="E12" s="858"/>
    </row>
    <row r="13" spans="1:9" ht="30" customHeight="1" x14ac:dyDescent="0.25">
      <c r="A13" s="226" t="s">
        <v>17</v>
      </c>
      <c r="B13" s="858"/>
      <c r="C13" s="858"/>
      <c r="D13" s="858"/>
      <c r="E13" s="858"/>
    </row>
    <row r="14" spans="1:9" ht="30" customHeight="1" x14ac:dyDescent="0.25">
      <c r="A14" s="226" t="s">
        <v>4</v>
      </c>
      <c r="B14" s="858">
        <v>2013</v>
      </c>
      <c r="C14" s="858"/>
      <c r="D14" s="858"/>
      <c r="E14" s="858"/>
    </row>
    <row r="15" spans="1:9" ht="30" customHeight="1" x14ac:dyDescent="0.25">
      <c r="A15" s="226" t="s">
        <v>5</v>
      </c>
      <c r="B15" s="858">
        <v>2014</v>
      </c>
      <c r="C15" s="858"/>
      <c r="D15" s="858"/>
      <c r="E15" s="858"/>
    </row>
    <row r="16" spans="1:9" ht="30" customHeight="1" x14ac:dyDescent="0.25">
      <c r="A16" s="226" t="s">
        <v>6</v>
      </c>
      <c r="B16" s="859">
        <v>14000</v>
      </c>
      <c r="C16" s="859"/>
      <c r="D16" s="859"/>
      <c r="E16" s="859"/>
    </row>
    <row r="17" spans="1:9" ht="30" customHeight="1" x14ac:dyDescent="0.25">
      <c r="A17" s="227" t="s">
        <v>7</v>
      </c>
      <c r="B17" s="845">
        <v>0</v>
      </c>
      <c r="C17" s="845"/>
      <c r="D17" s="845"/>
      <c r="E17" s="845"/>
    </row>
    <row r="18" spans="1:9" ht="30" customHeight="1" x14ac:dyDescent="0.25">
      <c r="A18" s="228" t="s">
        <v>468</v>
      </c>
      <c r="B18" s="868"/>
      <c r="C18" s="869"/>
      <c r="D18" s="869"/>
      <c r="E18" s="869"/>
    </row>
    <row r="19" spans="1:9" ht="30" customHeight="1" x14ac:dyDescent="0.25">
      <c r="A19" s="240" t="s">
        <v>467</v>
      </c>
      <c r="B19" s="870">
        <f>G16*0.85</f>
        <v>0</v>
      </c>
      <c r="C19" s="871"/>
      <c r="D19" s="871"/>
      <c r="E19" s="871"/>
    </row>
    <row r="20" spans="1:9" ht="30" customHeight="1" x14ac:dyDescent="0.25">
      <c r="A20" s="227" t="s">
        <v>8</v>
      </c>
      <c r="B20" s="845">
        <v>1</v>
      </c>
      <c r="C20" s="845"/>
      <c r="D20" s="845"/>
      <c r="E20" s="845"/>
    </row>
    <row r="21" spans="1:9" ht="30" customHeight="1" x14ac:dyDescent="0.25">
      <c r="A21" s="227" t="s">
        <v>9</v>
      </c>
      <c r="B21" s="845"/>
      <c r="C21" s="845"/>
      <c r="D21" s="845"/>
      <c r="E21" s="845"/>
    </row>
    <row r="22" spans="1:9" ht="30" customHeight="1" x14ac:dyDescent="0.25">
      <c r="A22" s="227" t="s">
        <v>465</v>
      </c>
      <c r="B22" s="846">
        <f>B16/(B20+B21)</f>
        <v>14000</v>
      </c>
      <c r="C22" s="846"/>
      <c r="D22" s="846"/>
      <c r="E22" s="846"/>
    </row>
    <row r="23" spans="1:9" ht="30" customHeight="1" x14ac:dyDescent="0.25">
      <c r="A23" s="227" t="s">
        <v>466</v>
      </c>
      <c r="B23" s="847">
        <f>(B16-B17)/(B20+B21)</f>
        <v>14000</v>
      </c>
      <c r="C23" s="847"/>
      <c r="D23" s="847"/>
      <c r="E23" s="847"/>
    </row>
    <row r="24" spans="1:9" ht="30" customHeight="1" x14ac:dyDescent="0.25">
      <c r="A24" s="229" t="s">
        <v>476</v>
      </c>
      <c r="B24" s="872">
        <f>B19*G24/1000</f>
        <v>0</v>
      </c>
      <c r="C24" s="872"/>
      <c r="D24" s="872"/>
      <c r="E24" s="872"/>
    </row>
    <row r="25" spans="1:9" ht="30" customHeight="1" x14ac:dyDescent="0.25">
      <c r="A25" s="230" t="s">
        <v>463</v>
      </c>
      <c r="B25" s="840">
        <f>B24/'Objectifs CO2'!C15</f>
        <v>0</v>
      </c>
      <c r="C25" s="840"/>
      <c r="D25" s="840"/>
      <c r="E25" s="840"/>
    </row>
    <row r="26" spans="1:9" ht="30" customHeight="1" x14ac:dyDescent="0.25">
      <c r="A26" s="213" t="s">
        <v>464</v>
      </c>
      <c r="B26" s="840">
        <f>B24/'Objectifs CO2'!C8</f>
        <v>0</v>
      </c>
      <c r="C26" s="840"/>
      <c r="D26" s="840"/>
      <c r="E26" s="840"/>
    </row>
    <row r="27" spans="1:9" ht="30" customHeight="1" x14ac:dyDescent="0.25">
      <c r="A27" s="213" t="s">
        <v>24</v>
      </c>
      <c r="B27" s="853"/>
      <c r="C27" s="853"/>
      <c r="D27" s="853"/>
      <c r="E27" s="853"/>
    </row>
    <row r="28" spans="1:9" ht="30" customHeight="1" x14ac:dyDescent="0.25">
      <c r="A28" s="231" t="s">
        <v>418</v>
      </c>
      <c r="B28" s="853" t="s">
        <v>829</v>
      </c>
      <c r="C28" s="853"/>
      <c r="D28" s="853"/>
      <c r="E28" s="853"/>
    </row>
    <row r="30" spans="1:9" x14ac:dyDescent="0.25">
      <c r="B30" s="867" t="s">
        <v>530</v>
      </c>
      <c r="C30" s="867"/>
      <c r="D30" s="867"/>
      <c r="E30" s="143" t="s">
        <v>538</v>
      </c>
      <c r="F30" s="37"/>
      <c r="G30" s="37"/>
      <c r="H30" s="37"/>
      <c r="I30" s="37"/>
    </row>
    <row r="31" spans="1:9" x14ac:dyDescent="0.25">
      <c r="B31" s="876" t="s">
        <v>521</v>
      </c>
      <c r="C31" s="876"/>
      <c r="D31" s="876"/>
      <c r="E31" s="154"/>
      <c r="F31" s="37"/>
      <c r="G31" s="866" t="s">
        <v>538</v>
      </c>
      <c r="H31" s="866"/>
      <c r="I31" s="866"/>
    </row>
    <row r="32" spans="1:9" x14ac:dyDescent="0.25">
      <c r="B32" s="876" t="s">
        <v>522</v>
      </c>
      <c r="C32" s="876"/>
      <c r="D32" s="876"/>
      <c r="E32" s="154"/>
      <c r="F32" s="37"/>
      <c r="G32" s="252">
        <v>3</v>
      </c>
      <c r="H32" s="866" t="s">
        <v>535</v>
      </c>
      <c r="I32" s="866"/>
    </row>
    <row r="33" spans="2:9" x14ac:dyDescent="0.25">
      <c r="B33" s="876" t="s">
        <v>524</v>
      </c>
      <c r="C33" s="876"/>
      <c r="D33" s="876"/>
      <c r="E33" s="154"/>
      <c r="F33" s="37"/>
      <c r="G33" s="252">
        <v>2</v>
      </c>
      <c r="H33" s="866" t="s">
        <v>536</v>
      </c>
      <c r="I33" s="866"/>
    </row>
    <row r="34" spans="2:9" x14ac:dyDescent="0.25">
      <c r="B34" s="876" t="s">
        <v>523</v>
      </c>
      <c r="C34" s="876"/>
      <c r="D34" s="876"/>
      <c r="E34" s="154"/>
      <c r="F34" s="37"/>
      <c r="G34" s="252">
        <v>1</v>
      </c>
      <c r="H34" s="866" t="s">
        <v>537</v>
      </c>
      <c r="I34" s="866"/>
    </row>
    <row r="35" spans="2:9" x14ac:dyDescent="0.25">
      <c r="B35" s="876" t="s">
        <v>525</v>
      </c>
      <c r="C35" s="876"/>
      <c r="D35" s="876"/>
      <c r="E35" s="154"/>
      <c r="F35" s="37"/>
      <c r="G35" s="37"/>
      <c r="H35" s="37"/>
      <c r="I35" s="37"/>
    </row>
    <row r="36" spans="2:9" x14ac:dyDescent="0.25">
      <c r="B36" s="876" t="s">
        <v>526</v>
      </c>
      <c r="C36" s="876"/>
      <c r="D36" s="876"/>
      <c r="E36" s="154"/>
      <c r="F36" s="37"/>
      <c r="G36" s="37"/>
      <c r="H36" s="37"/>
      <c r="I36" s="37"/>
    </row>
    <row r="37" spans="2:9" x14ac:dyDescent="0.25">
      <c r="B37" s="876" t="s">
        <v>527</v>
      </c>
      <c r="C37" s="876"/>
      <c r="D37" s="876"/>
      <c r="E37" s="154"/>
      <c r="F37" s="37"/>
      <c r="G37" s="37"/>
      <c r="H37" s="37"/>
      <c r="I37" s="37"/>
    </row>
    <row r="38" spans="2:9" x14ac:dyDescent="0.25">
      <c r="B38" s="876" t="s">
        <v>528</v>
      </c>
      <c r="C38" s="876"/>
      <c r="D38" s="876"/>
      <c r="E38" s="154"/>
      <c r="F38" s="37"/>
      <c r="G38" s="37"/>
      <c r="H38" s="37"/>
      <c r="I38" s="37"/>
    </row>
    <row r="39" spans="2:9" x14ac:dyDescent="0.25">
      <c r="B39" s="876" t="s">
        <v>529</v>
      </c>
      <c r="C39" s="876"/>
      <c r="D39" s="876"/>
      <c r="E39" s="154"/>
      <c r="F39" s="37"/>
      <c r="G39" s="37"/>
      <c r="H39" s="37"/>
      <c r="I39" s="37"/>
    </row>
    <row r="40" spans="2:9" x14ac:dyDescent="0.25">
      <c r="B40" s="876"/>
      <c r="C40" s="876"/>
      <c r="D40" s="876"/>
      <c r="E40" s="154"/>
      <c r="F40" s="37"/>
      <c r="G40" s="37"/>
      <c r="H40" s="37"/>
      <c r="I40" s="37"/>
    </row>
    <row r="41" spans="2:9" x14ac:dyDescent="0.25">
      <c r="B41" s="37"/>
      <c r="C41" s="37"/>
      <c r="D41" s="37"/>
      <c r="E41" s="37"/>
      <c r="F41" s="37"/>
      <c r="G41" s="37"/>
      <c r="H41" s="37"/>
      <c r="I41" s="37"/>
    </row>
    <row r="42" spans="2:9" x14ac:dyDescent="0.25">
      <c r="B42" s="37"/>
      <c r="C42" s="37"/>
      <c r="D42" s="37"/>
      <c r="E42" s="37"/>
      <c r="F42" s="37"/>
      <c r="G42" s="37"/>
      <c r="H42" s="37"/>
      <c r="I42" s="37"/>
    </row>
    <row r="43" spans="2:9" x14ac:dyDescent="0.25">
      <c r="B43" s="860" t="s">
        <v>520</v>
      </c>
      <c r="C43" s="861"/>
      <c r="D43" s="862"/>
      <c r="E43" s="251">
        <v>1</v>
      </c>
      <c r="F43" s="37"/>
      <c r="G43" s="254">
        <v>1</v>
      </c>
      <c r="H43" s="254" t="s">
        <v>539</v>
      </c>
      <c r="I43" s="37"/>
    </row>
    <row r="44" spans="2:9" x14ac:dyDescent="0.25">
      <c r="B44" s="37"/>
      <c r="C44" s="37"/>
      <c r="D44" s="37"/>
      <c r="E44" s="37"/>
      <c r="F44" s="37"/>
      <c r="G44" s="254">
        <v>0</v>
      </c>
      <c r="H44" s="254" t="s">
        <v>540</v>
      </c>
      <c r="I44" s="37"/>
    </row>
  </sheetData>
  <mergeCells count="44">
    <mergeCell ref="G6:I6"/>
    <mergeCell ref="B22:E22"/>
    <mergeCell ref="B23:E23"/>
    <mergeCell ref="B12:E12"/>
    <mergeCell ref="A2:E2"/>
    <mergeCell ref="B7:E7"/>
    <mergeCell ref="B8:E8"/>
    <mergeCell ref="B9:E9"/>
    <mergeCell ref="B11:E11"/>
    <mergeCell ref="C5:D5"/>
    <mergeCell ref="B10:E10"/>
    <mergeCell ref="C4:D4"/>
    <mergeCell ref="B32:D32"/>
    <mergeCell ref="H32:I32"/>
    <mergeCell ref="B24:E24"/>
    <mergeCell ref="B25:E25"/>
    <mergeCell ref="B13:E13"/>
    <mergeCell ref="B14:E14"/>
    <mergeCell ref="B15:E15"/>
    <mergeCell ref="B16:E16"/>
    <mergeCell ref="B17:E17"/>
    <mergeCell ref="B18:E18"/>
    <mergeCell ref="B28:E28"/>
    <mergeCell ref="B19:E19"/>
    <mergeCell ref="B27:E27"/>
    <mergeCell ref="B26:E26"/>
    <mergeCell ref="B20:E20"/>
    <mergeCell ref="B21:E21"/>
    <mergeCell ref="B43:D43"/>
    <mergeCell ref="G4:I4"/>
    <mergeCell ref="G5:I5"/>
    <mergeCell ref="B36:D36"/>
    <mergeCell ref="B37:D37"/>
    <mergeCell ref="B38:D38"/>
    <mergeCell ref="B39:D39"/>
    <mergeCell ref="B40:D40"/>
    <mergeCell ref="B33:D33"/>
    <mergeCell ref="H33:I33"/>
    <mergeCell ref="B34:D34"/>
    <mergeCell ref="H34:I34"/>
    <mergeCell ref="B35:D35"/>
    <mergeCell ref="B30:D30"/>
    <mergeCell ref="B31:D31"/>
    <mergeCell ref="G31:I31"/>
  </mergeCells>
  <conditionalFormatting sqref="E5">
    <cfRule type="containsText" dxfId="251" priority="1" operator="containsText" text="Terminé">
      <formula>NOT(ISERROR(SEARCH("Terminé",E5)))</formula>
    </cfRule>
    <cfRule type="containsText" dxfId="250" priority="2" operator="containsText" text="En cours">
      <formula>NOT(ISERROR(SEARCH("En cours",E5)))</formula>
    </cfRule>
    <cfRule type="containsText" dxfId="249" priority="3" operator="containsText" text="A faire">
      <formula>NOT(ISERROR(SEARCH("A faire",E5)))</formula>
    </cfRule>
  </conditionalFormatting>
  <hyperlinks>
    <hyperlink ref="G4:I4" location="'Objectifs CO2'!A1" display="Lien vers Objectifs CO2"/>
    <hyperlink ref="G5:I5" location="'Synthèse CO2'!A1" display="Lien synthèse CO2"/>
    <hyperlink ref="G6" location="CALENDRIER!A1" display="Lien vers CALENDRIER"/>
  </hyperlinks>
  <pageMargins left="0.7" right="0.7" top="0.75" bottom="0.75" header="0.3" footer="0.3"/>
  <pageSetup paperSize="9" scale="8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44"/>
  <sheetViews>
    <sheetView zoomScale="115" zoomScaleNormal="115" zoomScaleSheetLayoutView="110" workbookViewId="0">
      <selection activeCell="G4" sqref="G4:I4"/>
    </sheetView>
  </sheetViews>
  <sheetFormatPr baseColWidth="10" defaultRowHeight="23.25" customHeight="1"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9" ht="21" x14ac:dyDescent="0.35">
      <c r="A1" s="11" t="s">
        <v>87</v>
      </c>
      <c r="B1" s="11"/>
      <c r="C1" s="11"/>
      <c r="D1" s="11"/>
      <c r="E1" s="11"/>
    </row>
    <row r="2" spans="1:9" ht="26.25" x14ac:dyDescent="0.4">
      <c r="A2" s="856" t="s">
        <v>913</v>
      </c>
      <c r="B2" s="856"/>
      <c r="C2" s="856"/>
      <c r="D2" s="856"/>
      <c r="E2" s="856"/>
    </row>
    <row r="3" spans="1:9" ht="27" thickBot="1" x14ac:dyDescent="0.45">
      <c r="A3" s="195"/>
      <c r="B3" s="195"/>
      <c r="C3" s="195"/>
      <c r="D3" s="195"/>
      <c r="E3" s="195"/>
    </row>
    <row r="4" spans="1:9" ht="15.75" thickBot="1" x14ac:dyDescent="0.3">
      <c r="A4" s="12"/>
      <c r="B4" s="233" t="s">
        <v>469</v>
      </c>
      <c r="C4" s="851" t="s">
        <v>611</v>
      </c>
      <c r="D4" s="852"/>
      <c r="E4" s="174" t="s">
        <v>180</v>
      </c>
      <c r="G4" s="848" t="s">
        <v>914</v>
      </c>
      <c r="H4" s="848"/>
      <c r="I4" s="848"/>
    </row>
    <row r="5" spans="1:9" ht="18.75" customHeight="1" x14ac:dyDescent="0.25">
      <c r="A5" s="381" t="s">
        <v>651</v>
      </c>
      <c r="B5" s="382" t="s">
        <v>659</v>
      </c>
      <c r="C5" s="820" t="s">
        <v>18</v>
      </c>
      <c r="D5" s="820"/>
      <c r="E5" s="232" t="s">
        <v>21</v>
      </c>
      <c r="G5" s="848" t="s">
        <v>915</v>
      </c>
      <c r="H5" s="848"/>
      <c r="I5" s="848"/>
    </row>
    <row r="6" spans="1:9" ht="16.5" thickBot="1" x14ac:dyDescent="0.3">
      <c r="A6" s="379" t="s">
        <v>660</v>
      </c>
      <c r="B6" s="380" t="s">
        <v>658</v>
      </c>
      <c r="C6" s="16"/>
      <c r="D6" s="16"/>
      <c r="E6" s="16"/>
      <c r="G6" s="850" t="s">
        <v>916</v>
      </c>
      <c r="H6" s="850"/>
      <c r="I6" s="850"/>
    </row>
    <row r="7" spans="1:9" ht="24" customHeight="1" thickBot="1" x14ac:dyDescent="0.3">
      <c r="A7" s="219" t="s">
        <v>1</v>
      </c>
      <c r="B7" s="857" t="s">
        <v>178</v>
      </c>
      <c r="C7" s="857"/>
      <c r="D7" s="857"/>
      <c r="E7" s="857"/>
    </row>
    <row r="8" spans="1:9" ht="24" customHeight="1" thickBot="1" x14ac:dyDescent="0.3">
      <c r="A8" s="219" t="s">
        <v>0</v>
      </c>
      <c r="B8" s="857" t="s">
        <v>179</v>
      </c>
      <c r="C8" s="857"/>
      <c r="D8" s="857"/>
      <c r="E8" s="857"/>
    </row>
    <row r="9" spans="1:9" ht="162" customHeight="1" x14ac:dyDescent="0.25">
      <c r="A9" s="214" t="s">
        <v>2</v>
      </c>
      <c r="B9" s="854" t="s">
        <v>756</v>
      </c>
      <c r="C9" s="854"/>
      <c r="D9" s="854"/>
      <c r="E9" s="854"/>
    </row>
    <row r="10" spans="1:9" ht="54" customHeight="1" x14ac:dyDescent="0.25">
      <c r="A10" s="214" t="s">
        <v>31</v>
      </c>
      <c r="B10" s="855"/>
      <c r="C10" s="855"/>
      <c r="D10" s="855"/>
      <c r="E10" s="855"/>
    </row>
    <row r="11" spans="1:9" ht="30" customHeight="1" x14ac:dyDescent="0.25">
      <c r="A11" s="209" t="s">
        <v>16</v>
      </c>
      <c r="B11" s="874" t="s">
        <v>512</v>
      </c>
      <c r="C11" s="874"/>
      <c r="D11" s="874"/>
      <c r="E11" s="874"/>
    </row>
    <row r="12" spans="1:9" ht="30" customHeight="1" x14ac:dyDescent="0.25">
      <c r="A12" s="209" t="s">
        <v>3</v>
      </c>
      <c r="B12" s="874"/>
      <c r="C12" s="874"/>
      <c r="D12" s="874"/>
      <c r="E12" s="874"/>
    </row>
    <row r="13" spans="1:9" ht="30" customHeight="1" x14ac:dyDescent="0.25">
      <c r="A13" s="209" t="s">
        <v>17</v>
      </c>
      <c r="B13" s="874" t="s">
        <v>857</v>
      </c>
      <c r="C13" s="874"/>
      <c r="D13" s="874"/>
      <c r="E13" s="874"/>
    </row>
    <row r="14" spans="1:9" ht="30" customHeight="1" x14ac:dyDescent="0.25">
      <c r="A14" s="209" t="s">
        <v>4</v>
      </c>
      <c r="B14" s="874">
        <v>2010</v>
      </c>
      <c r="C14" s="874"/>
      <c r="D14" s="874"/>
      <c r="E14" s="874"/>
    </row>
    <row r="15" spans="1:9" ht="30" customHeight="1" x14ac:dyDescent="0.25">
      <c r="A15" s="209" t="s">
        <v>5</v>
      </c>
      <c r="B15" s="874">
        <v>2020</v>
      </c>
      <c r="C15" s="874"/>
      <c r="D15" s="874"/>
      <c r="E15" s="874"/>
    </row>
    <row r="16" spans="1:9" ht="30" customHeight="1" x14ac:dyDescent="0.25">
      <c r="A16" s="209" t="s">
        <v>6</v>
      </c>
      <c r="B16" s="845">
        <v>0</v>
      </c>
      <c r="C16" s="845"/>
      <c r="D16" s="845"/>
      <c r="E16" s="845"/>
    </row>
    <row r="17" spans="1:9" ht="30" customHeight="1" x14ac:dyDescent="0.25">
      <c r="A17" s="209" t="s">
        <v>7</v>
      </c>
      <c r="B17" s="845">
        <v>0</v>
      </c>
      <c r="C17" s="845"/>
      <c r="D17" s="845"/>
      <c r="E17" s="845"/>
    </row>
    <row r="18" spans="1:9" ht="30" customHeight="1" x14ac:dyDescent="0.25">
      <c r="A18" s="210" t="s">
        <v>468</v>
      </c>
      <c r="B18" s="868"/>
      <c r="C18" s="869"/>
      <c r="D18" s="869"/>
      <c r="E18" s="869"/>
    </row>
    <row r="19" spans="1:9" ht="30" customHeight="1" x14ac:dyDescent="0.25">
      <c r="A19" s="238" t="s">
        <v>467</v>
      </c>
      <c r="B19" s="875"/>
      <c r="C19" s="875"/>
      <c r="D19" s="875"/>
      <c r="E19" s="875"/>
    </row>
    <row r="20" spans="1:9" ht="30" customHeight="1" x14ac:dyDescent="0.25">
      <c r="A20" s="209" t="s">
        <v>8</v>
      </c>
      <c r="B20" s="845">
        <v>1</v>
      </c>
      <c r="C20" s="845"/>
      <c r="D20" s="845"/>
      <c r="E20" s="845"/>
    </row>
    <row r="21" spans="1:9" ht="30" customHeight="1" x14ac:dyDescent="0.25">
      <c r="A21" s="209" t="s">
        <v>9</v>
      </c>
      <c r="B21" s="845"/>
      <c r="C21" s="845"/>
      <c r="D21" s="845"/>
      <c r="E21" s="845"/>
    </row>
    <row r="22" spans="1:9" ht="30" customHeight="1" x14ac:dyDescent="0.25">
      <c r="A22" s="209" t="s">
        <v>465</v>
      </c>
      <c r="B22" s="846">
        <f>B16/(B20+B21)</f>
        <v>0</v>
      </c>
      <c r="C22" s="846"/>
      <c r="D22" s="846"/>
      <c r="E22" s="846"/>
    </row>
    <row r="23" spans="1:9" ht="30" customHeight="1" x14ac:dyDescent="0.25">
      <c r="A23" s="209" t="s">
        <v>466</v>
      </c>
      <c r="B23" s="847">
        <f>(B16-B17)/(B20+B21)</f>
        <v>0</v>
      </c>
      <c r="C23" s="847"/>
      <c r="D23" s="847"/>
      <c r="E23" s="847"/>
    </row>
    <row r="24" spans="1:9" ht="30" customHeight="1" x14ac:dyDescent="0.25">
      <c r="A24" s="220" t="s">
        <v>476</v>
      </c>
      <c r="B24" s="880">
        <f>B18*G23/1000</f>
        <v>0</v>
      </c>
      <c r="C24" s="880"/>
      <c r="D24" s="880"/>
      <c r="E24" s="880"/>
    </row>
    <row r="25" spans="1:9" ht="30" customHeight="1" x14ac:dyDescent="0.25">
      <c r="A25" s="212" t="s">
        <v>463</v>
      </c>
      <c r="B25" s="840">
        <f>B24/'Objectifs CO2'!C15</f>
        <v>0</v>
      </c>
      <c r="C25" s="840"/>
      <c r="D25" s="840"/>
      <c r="E25" s="840"/>
    </row>
    <row r="26" spans="1:9" ht="30" customHeight="1" x14ac:dyDescent="0.25">
      <c r="A26" s="213" t="s">
        <v>464</v>
      </c>
      <c r="B26" s="840">
        <f>B24/'Objectifs CO2'!C8</f>
        <v>0</v>
      </c>
      <c r="C26" s="840"/>
      <c r="D26" s="840"/>
      <c r="E26" s="840"/>
    </row>
    <row r="27" spans="1:9" ht="30" customHeight="1" x14ac:dyDescent="0.25">
      <c r="A27" s="213" t="s">
        <v>24</v>
      </c>
      <c r="B27" s="853"/>
      <c r="C27" s="853"/>
      <c r="D27" s="853"/>
      <c r="E27" s="853"/>
    </row>
    <row r="28" spans="1:9" ht="30" customHeight="1" x14ac:dyDescent="0.25">
      <c r="A28" s="213" t="s">
        <v>418</v>
      </c>
      <c r="B28" s="853" t="s">
        <v>424</v>
      </c>
      <c r="C28" s="853"/>
      <c r="D28" s="853"/>
      <c r="E28" s="853"/>
    </row>
    <row r="30" spans="1:9" ht="23.25" customHeight="1" x14ac:dyDescent="0.25">
      <c r="B30" s="867" t="s">
        <v>530</v>
      </c>
      <c r="C30" s="867"/>
      <c r="D30" s="867"/>
      <c r="E30" s="143" t="s">
        <v>538</v>
      </c>
    </row>
    <row r="31" spans="1:9" ht="23.25" customHeight="1" x14ac:dyDescent="0.25">
      <c r="B31" s="864" t="s">
        <v>521</v>
      </c>
      <c r="C31" s="864"/>
      <c r="D31" s="864"/>
      <c r="E31" s="114"/>
      <c r="G31" s="866" t="s">
        <v>538</v>
      </c>
      <c r="H31" s="866"/>
      <c r="I31" s="866"/>
    </row>
    <row r="32" spans="1:9" ht="23.25" customHeight="1" x14ac:dyDescent="0.25">
      <c r="B32" s="864" t="s">
        <v>522</v>
      </c>
      <c r="C32" s="864"/>
      <c r="D32" s="864"/>
      <c r="E32" s="114"/>
      <c r="G32" s="252">
        <v>3</v>
      </c>
      <c r="H32" s="866" t="s">
        <v>535</v>
      </c>
      <c r="I32" s="866"/>
    </row>
    <row r="33" spans="2:9" ht="23.25" customHeight="1" x14ac:dyDescent="0.25">
      <c r="B33" s="864" t="s">
        <v>524</v>
      </c>
      <c r="C33" s="864"/>
      <c r="D33" s="864"/>
      <c r="E33" s="114"/>
      <c r="G33" s="252">
        <v>2</v>
      </c>
      <c r="H33" s="866" t="s">
        <v>536</v>
      </c>
      <c r="I33" s="866"/>
    </row>
    <row r="34" spans="2:9" ht="23.25" customHeight="1" x14ac:dyDescent="0.25">
      <c r="B34" s="864" t="s">
        <v>523</v>
      </c>
      <c r="C34" s="864"/>
      <c r="D34" s="864"/>
      <c r="E34" s="114"/>
      <c r="G34" s="252">
        <v>1</v>
      </c>
      <c r="H34" s="866" t="s">
        <v>537</v>
      </c>
      <c r="I34" s="866"/>
    </row>
    <row r="35" spans="2:9" ht="23.25" customHeight="1" x14ac:dyDescent="0.25">
      <c r="B35" s="864" t="s">
        <v>525</v>
      </c>
      <c r="C35" s="864"/>
      <c r="D35" s="864"/>
      <c r="E35" s="114"/>
    </row>
    <row r="36" spans="2:9" ht="23.25" customHeight="1" x14ac:dyDescent="0.25">
      <c r="B36" s="864" t="s">
        <v>526</v>
      </c>
      <c r="C36" s="864"/>
      <c r="D36" s="864"/>
      <c r="E36" s="114"/>
    </row>
    <row r="37" spans="2:9" ht="23.25" customHeight="1" x14ac:dyDescent="0.25">
      <c r="B37" s="864" t="s">
        <v>527</v>
      </c>
      <c r="C37" s="864"/>
      <c r="D37" s="864"/>
      <c r="E37" s="114"/>
    </row>
    <row r="38" spans="2:9" ht="23.25" customHeight="1" x14ac:dyDescent="0.25">
      <c r="B38" s="864" t="s">
        <v>528</v>
      </c>
      <c r="C38" s="864"/>
      <c r="D38" s="864"/>
      <c r="E38" s="114"/>
    </row>
    <row r="39" spans="2:9" ht="23.25" customHeight="1" x14ac:dyDescent="0.25">
      <c r="B39" s="864" t="s">
        <v>529</v>
      </c>
      <c r="C39" s="864"/>
      <c r="D39" s="864"/>
      <c r="E39" s="114"/>
      <c r="G39" s="863" t="s">
        <v>541</v>
      </c>
      <c r="H39" s="863"/>
      <c r="I39" s="863"/>
    </row>
    <row r="40" spans="2:9" ht="23.25" customHeight="1" x14ac:dyDescent="0.25">
      <c r="B40" s="865" t="s">
        <v>395</v>
      </c>
      <c r="C40" s="865"/>
      <c r="D40" s="865"/>
      <c r="E40" s="258">
        <f>SUM(E31:E39)</f>
        <v>0</v>
      </c>
      <c r="G40" s="254" t="s">
        <v>542</v>
      </c>
      <c r="H40" s="257" t="s">
        <v>543</v>
      </c>
      <c r="I40" s="254" t="s">
        <v>544</v>
      </c>
    </row>
    <row r="41" spans="2:9" ht="23.25" customHeight="1" x14ac:dyDescent="0.25">
      <c r="E41" s="202" t="s">
        <v>576</v>
      </c>
      <c r="G41" s="254" t="s">
        <v>545</v>
      </c>
      <c r="H41" s="254" t="s">
        <v>547</v>
      </c>
      <c r="I41" s="254" t="s">
        <v>546</v>
      </c>
    </row>
    <row r="43" spans="2:9" ht="23.25" customHeight="1" x14ac:dyDescent="0.25">
      <c r="B43" s="860" t="s">
        <v>520</v>
      </c>
      <c r="C43" s="861"/>
      <c r="D43" s="862"/>
      <c r="E43" s="251">
        <v>1</v>
      </c>
      <c r="G43" s="254">
        <v>1</v>
      </c>
      <c r="H43" s="254" t="s">
        <v>539</v>
      </c>
    </row>
    <row r="44" spans="2:9" ht="23.25" customHeight="1" x14ac:dyDescent="0.25">
      <c r="G44" s="254">
        <v>0</v>
      </c>
      <c r="H44" s="254" t="s">
        <v>540</v>
      </c>
    </row>
  </sheetData>
  <mergeCells count="45">
    <mergeCell ref="B17:E17"/>
    <mergeCell ref="G6:I6"/>
    <mergeCell ref="B28:E28"/>
    <mergeCell ref="B20:E20"/>
    <mergeCell ref="B21:E21"/>
    <mergeCell ref="B22:E22"/>
    <mergeCell ref="B23:E23"/>
    <mergeCell ref="B24:E24"/>
    <mergeCell ref="B18:E18"/>
    <mergeCell ref="B19:E19"/>
    <mergeCell ref="B25:E25"/>
    <mergeCell ref="B26:E26"/>
    <mergeCell ref="B27:E27"/>
    <mergeCell ref="B31:D31"/>
    <mergeCell ref="G31:I31"/>
    <mergeCell ref="B32:D32"/>
    <mergeCell ref="H32:I32"/>
    <mergeCell ref="A2:E2"/>
    <mergeCell ref="B7:E7"/>
    <mergeCell ref="B8:E8"/>
    <mergeCell ref="B9:E9"/>
    <mergeCell ref="B14:E14"/>
    <mergeCell ref="B10:E10"/>
    <mergeCell ref="B11:E11"/>
    <mergeCell ref="B12:E12"/>
    <mergeCell ref="B13:E13"/>
    <mergeCell ref="C5:D5"/>
    <mergeCell ref="B15:E15"/>
    <mergeCell ref="B16:E16"/>
    <mergeCell ref="C4:D4"/>
    <mergeCell ref="B43:D43"/>
    <mergeCell ref="G4:I4"/>
    <mergeCell ref="G5:I5"/>
    <mergeCell ref="G39:I39"/>
    <mergeCell ref="B36:D36"/>
    <mergeCell ref="B37:D37"/>
    <mergeCell ref="B38:D38"/>
    <mergeCell ref="B39:D39"/>
    <mergeCell ref="B40:D40"/>
    <mergeCell ref="B33:D33"/>
    <mergeCell ref="H33:I33"/>
    <mergeCell ref="B34:D34"/>
    <mergeCell ref="H34:I34"/>
    <mergeCell ref="B35:D35"/>
    <mergeCell ref="B30:D30"/>
  </mergeCells>
  <conditionalFormatting sqref="E5">
    <cfRule type="containsText" dxfId="248" priority="1" operator="containsText" text="Terminé">
      <formula>NOT(ISERROR(SEARCH("Terminé",E5)))</formula>
    </cfRule>
    <cfRule type="containsText" dxfId="247" priority="2" operator="containsText" text="En cours">
      <formula>NOT(ISERROR(SEARCH("En cours",E5)))</formula>
    </cfRule>
    <cfRule type="containsText" dxfId="246"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pageSetup paperSize="9" scale="81"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44"/>
  <sheetViews>
    <sheetView topLeftCell="B4" zoomScale="115" zoomScaleNormal="115" zoomScaleSheetLayoutView="160"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4" ht="21" x14ac:dyDescent="0.35">
      <c r="A1" s="11" t="s">
        <v>87</v>
      </c>
      <c r="B1" s="11"/>
      <c r="C1" s="11"/>
      <c r="D1" s="11"/>
      <c r="E1" s="11"/>
    </row>
    <row r="2" spans="1:14" ht="26.25" x14ac:dyDescent="0.4">
      <c r="A2" s="856" t="s">
        <v>913</v>
      </c>
      <c r="B2" s="856"/>
      <c r="C2" s="856"/>
      <c r="D2" s="856"/>
      <c r="E2" s="856"/>
    </row>
    <row r="3" spans="1:14" ht="27" thickBot="1" x14ac:dyDescent="0.45">
      <c r="A3" s="113"/>
      <c r="B3" s="113"/>
      <c r="C3" s="113"/>
      <c r="D3" s="113"/>
      <c r="E3" s="113"/>
    </row>
    <row r="4" spans="1:14" ht="15.75" thickBot="1" x14ac:dyDescent="0.3">
      <c r="A4" s="12"/>
      <c r="B4" s="233" t="s">
        <v>469</v>
      </c>
      <c r="C4" s="851" t="s">
        <v>35</v>
      </c>
      <c r="D4" s="852"/>
      <c r="E4" s="174" t="s">
        <v>308</v>
      </c>
      <c r="G4" s="848" t="s">
        <v>914</v>
      </c>
      <c r="H4" s="848"/>
      <c r="I4" s="848"/>
    </row>
    <row r="5" spans="1:14" ht="18.75" customHeight="1" x14ac:dyDescent="0.25">
      <c r="A5" s="381" t="s">
        <v>651</v>
      </c>
      <c r="B5" s="382" t="s">
        <v>659</v>
      </c>
      <c r="C5" s="820" t="s">
        <v>18</v>
      </c>
      <c r="D5" s="820"/>
      <c r="E5" s="232" t="s">
        <v>20</v>
      </c>
      <c r="G5" s="848" t="s">
        <v>915</v>
      </c>
      <c r="H5" s="848"/>
      <c r="I5" s="848"/>
    </row>
    <row r="6" spans="1:14" ht="16.5" thickBot="1" x14ac:dyDescent="0.3">
      <c r="A6" s="379" t="s">
        <v>660</v>
      </c>
      <c r="B6" s="380" t="s">
        <v>658</v>
      </c>
      <c r="C6" s="16"/>
      <c r="D6" s="16"/>
      <c r="E6" s="16"/>
      <c r="G6" s="850" t="s">
        <v>916</v>
      </c>
      <c r="H6" s="850"/>
      <c r="I6" s="850"/>
    </row>
    <row r="7" spans="1:14" ht="24" customHeight="1" thickBot="1" x14ac:dyDescent="0.3">
      <c r="A7" s="207" t="s">
        <v>1</v>
      </c>
      <c r="B7" s="857" t="s">
        <v>184</v>
      </c>
      <c r="C7" s="857"/>
      <c r="D7" s="857"/>
      <c r="E7" s="857"/>
    </row>
    <row r="8" spans="1:14" ht="24" customHeight="1" thickBot="1" x14ac:dyDescent="0.3">
      <c r="A8" s="207" t="s">
        <v>0</v>
      </c>
      <c r="B8" s="857" t="s">
        <v>185</v>
      </c>
      <c r="C8" s="857"/>
      <c r="D8" s="857"/>
      <c r="E8" s="857"/>
    </row>
    <row r="9" spans="1:14" ht="54" customHeight="1" x14ac:dyDescent="0.25">
      <c r="A9" s="214" t="s">
        <v>2</v>
      </c>
      <c r="B9" s="854" t="s">
        <v>738</v>
      </c>
      <c r="C9" s="854"/>
      <c r="D9" s="854"/>
      <c r="E9" s="854"/>
      <c r="G9" s="116" t="s">
        <v>452</v>
      </c>
      <c r="H9" s="116" t="s">
        <v>187</v>
      </c>
      <c r="I9" s="116" t="s">
        <v>161</v>
      </c>
      <c r="J9" s="117" t="s">
        <v>192</v>
      </c>
      <c r="K9" s="117" t="s">
        <v>453</v>
      </c>
      <c r="L9" s="117" t="s">
        <v>454</v>
      </c>
      <c r="M9" s="117" t="s">
        <v>455</v>
      </c>
      <c r="N9" s="117" t="s">
        <v>189</v>
      </c>
    </row>
    <row r="10" spans="1:14" ht="54" customHeight="1" x14ac:dyDescent="0.25">
      <c r="A10" s="214" t="s">
        <v>31</v>
      </c>
      <c r="B10" s="882"/>
      <c r="C10" s="882"/>
      <c r="D10" s="882"/>
      <c r="E10" s="882"/>
      <c r="G10" s="204">
        <v>1200</v>
      </c>
      <c r="H10" s="204">
        <v>0.1</v>
      </c>
      <c r="I10" s="204">
        <v>0.86</v>
      </c>
      <c r="J10" s="203">
        <v>4037</v>
      </c>
      <c r="K10" s="203">
        <v>50372</v>
      </c>
      <c r="L10" s="139">
        <v>7756</v>
      </c>
      <c r="M10" s="203">
        <v>0.26100000000000001</v>
      </c>
      <c r="N10" s="203">
        <f>K14</f>
        <v>0.23618208092485551</v>
      </c>
    </row>
    <row r="11" spans="1:14" ht="30" customHeight="1" x14ac:dyDescent="0.25">
      <c r="A11" s="215" t="s">
        <v>16</v>
      </c>
      <c r="B11" s="858" t="s">
        <v>512</v>
      </c>
      <c r="C11" s="858"/>
      <c r="D11" s="858"/>
      <c r="E11" s="858"/>
      <c r="H11" s="37">
        <f>(K10+L10)/J10*100</f>
        <v>1439.881099826604</v>
      </c>
    </row>
    <row r="12" spans="1:14" ht="30" customHeight="1" x14ac:dyDescent="0.25">
      <c r="A12" s="215" t="s">
        <v>3</v>
      </c>
      <c r="B12" s="858"/>
      <c r="C12" s="858"/>
      <c r="D12" s="858"/>
      <c r="E12" s="858"/>
      <c r="K12" s="127">
        <v>0.26100000000000001</v>
      </c>
      <c r="L12" s="127">
        <f>K10</f>
        <v>50372</v>
      </c>
    </row>
    <row r="13" spans="1:14" ht="30" customHeight="1" x14ac:dyDescent="0.25">
      <c r="A13" s="215" t="s">
        <v>17</v>
      </c>
      <c r="B13" s="883" t="s">
        <v>938</v>
      </c>
      <c r="C13" s="883"/>
      <c r="D13" s="883"/>
      <c r="E13" s="883"/>
      <c r="K13" s="127">
        <v>7.4999999999999997E-2</v>
      </c>
      <c r="L13" s="127">
        <f>L10</f>
        <v>7756</v>
      </c>
    </row>
    <row r="14" spans="1:14" ht="30" customHeight="1" x14ac:dyDescent="0.25">
      <c r="A14" s="215" t="s">
        <v>4</v>
      </c>
      <c r="B14" s="874">
        <v>2015</v>
      </c>
      <c r="C14" s="874"/>
      <c r="D14" s="874"/>
      <c r="E14" s="874"/>
      <c r="K14" s="127">
        <f>(K12*L12+K13*L13)/L14</f>
        <v>0.23618208092485551</v>
      </c>
      <c r="L14" s="127">
        <f>L13+L12</f>
        <v>58128</v>
      </c>
    </row>
    <row r="15" spans="1:14" ht="30" customHeight="1" x14ac:dyDescent="0.25">
      <c r="A15" s="215" t="s">
        <v>5</v>
      </c>
      <c r="B15" s="874">
        <v>2020</v>
      </c>
      <c r="C15" s="874"/>
      <c r="D15" s="874"/>
      <c r="E15" s="874"/>
    </row>
    <row r="16" spans="1:14" ht="30" customHeight="1" x14ac:dyDescent="0.25">
      <c r="A16" s="215" t="s">
        <v>6</v>
      </c>
      <c r="B16" s="845">
        <v>0</v>
      </c>
      <c r="C16" s="845"/>
      <c r="D16" s="845"/>
      <c r="E16" s="845"/>
    </row>
    <row r="17" spans="1:13" ht="30" customHeight="1" x14ac:dyDescent="0.25">
      <c r="A17" s="215" t="s">
        <v>7</v>
      </c>
      <c r="B17" s="845">
        <v>0</v>
      </c>
      <c r="C17" s="845"/>
      <c r="D17" s="845"/>
      <c r="E17" s="845"/>
    </row>
    <row r="18" spans="1:13" ht="30" customHeight="1" x14ac:dyDescent="0.25">
      <c r="A18" s="210" t="s">
        <v>468</v>
      </c>
      <c r="B18" s="868">
        <f>H11*H10*G10*10</f>
        <v>1727857.3197919249</v>
      </c>
      <c r="C18" s="869"/>
      <c r="D18" s="869"/>
      <c r="E18" s="869"/>
      <c r="G18" s="2"/>
      <c r="H18" s="2"/>
    </row>
    <row r="19" spans="1:13" s="72" customFormat="1" ht="30" customHeight="1" x14ac:dyDescent="0.25">
      <c r="A19" s="238" t="s">
        <v>467</v>
      </c>
      <c r="B19" s="870"/>
      <c r="C19" s="871"/>
      <c r="D19" s="871"/>
      <c r="E19" s="871"/>
      <c r="F19" s="37"/>
      <c r="G19" s="2"/>
      <c r="H19" s="2"/>
      <c r="I19" s="37"/>
      <c r="J19" s="37"/>
      <c r="K19" s="37"/>
      <c r="L19" s="37"/>
      <c r="M19" s="37"/>
    </row>
    <row r="20" spans="1:13" ht="30" customHeight="1" x14ac:dyDescent="0.25">
      <c r="A20" s="215" t="s">
        <v>8</v>
      </c>
      <c r="B20" s="845">
        <f>B18*I10/10</f>
        <v>148595.72950210556</v>
      </c>
      <c r="C20" s="845"/>
      <c r="D20" s="845"/>
      <c r="E20" s="845"/>
    </row>
    <row r="21" spans="1:13" ht="30" customHeight="1" x14ac:dyDescent="0.25">
      <c r="A21" s="215" t="s">
        <v>9</v>
      </c>
      <c r="B21" s="845"/>
      <c r="C21" s="845"/>
      <c r="D21" s="845"/>
      <c r="E21" s="845"/>
    </row>
    <row r="22" spans="1:13" ht="30" customHeight="1" x14ac:dyDescent="0.25">
      <c r="A22" s="215" t="s">
        <v>465</v>
      </c>
      <c r="B22" s="846">
        <f>B16/(B20+B21)</f>
        <v>0</v>
      </c>
      <c r="C22" s="846"/>
      <c r="D22" s="846"/>
      <c r="E22" s="846"/>
    </row>
    <row r="23" spans="1:13" ht="30" customHeight="1" x14ac:dyDescent="0.25">
      <c r="A23" s="215" t="s">
        <v>466</v>
      </c>
      <c r="B23" s="847">
        <f>(B16-B17)/(B20+B21)</f>
        <v>0</v>
      </c>
      <c r="C23" s="847"/>
      <c r="D23" s="847"/>
      <c r="E23" s="847"/>
    </row>
    <row r="24" spans="1:13" ht="30" customHeight="1" x14ac:dyDescent="0.25">
      <c r="A24" s="216" t="s">
        <v>476</v>
      </c>
      <c r="B24" s="849">
        <f>B18*N10/1000</f>
        <v>408.08893732970034</v>
      </c>
      <c r="C24" s="849"/>
      <c r="D24" s="849"/>
      <c r="E24" s="849"/>
    </row>
    <row r="25" spans="1:13" ht="30" customHeight="1" x14ac:dyDescent="0.25">
      <c r="A25" s="217" t="s">
        <v>463</v>
      </c>
      <c r="B25" s="881">
        <f>B24/'Objectifs CO2'!C12</f>
        <v>0.11826994561408066</v>
      </c>
      <c r="C25" s="881"/>
      <c r="D25" s="881"/>
      <c r="E25" s="881"/>
    </row>
    <row r="26" spans="1:13" ht="30" customHeight="1" x14ac:dyDescent="0.25">
      <c r="A26" s="218" t="s">
        <v>464</v>
      </c>
      <c r="B26" s="881">
        <f>B24/'Objectifs CO2'!C8</f>
        <v>5.9134972807040331E-2</v>
      </c>
      <c r="C26" s="881"/>
      <c r="D26" s="881"/>
      <c r="E26" s="881"/>
    </row>
    <row r="27" spans="1:13" ht="30" customHeight="1" x14ac:dyDescent="0.25">
      <c r="A27" s="218" t="s">
        <v>24</v>
      </c>
      <c r="B27" s="853"/>
      <c r="C27" s="853"/>
      <c r="D27" s="853"/>
      <c r="E27" s="853"/>
    </row>
    <row r="28" spans="1:13" ht="30" customHeight="1" x14ac:dyDescent="0.25">
      <c r="A28" s="213" t="s">
        <v>418</v>
      </c>
      <c r="B28" s="853" t="s">
        <v>425</v>
      </c>
      <c r="C28" s="853"/>
      <c r="D28" s="853"/>
      <c r="E28" s="853"/>
    </row>
    <row r="30" spans="1:13" x14ac:dyDescent="0.25">
      <c r="B30" s="867" t="s">
        <v>530</v>
      </c>
      <c r="C30" s="867"/>
      <c r="D30" s="867"/>
      <c r="E30" s="143" t="s">
        <v>538</v>
      </c>
    </row>
    <row r="31" spans="1:13" x14ac:dyDescent="0.25">
      <c r="B31" s="864" t="s">
        <v>521</v>
      </c>
      <c r="C31" s="864"/>
      <c r="D31" s="864"/>
      <c r="E31" s="114"/>
      <c r="G31" s="866" t="s">
        <v>538</v>
      </c>
      <c r="H31" s="866"/>
      <c r="I31" s="866"/>
    </row>
    <row r="32" spans="1:13" x14ac:dyDescent="0.25">
      <c r="B32" s="864" t="s">
        <v>522</v>
      </c>
      <c r="C32" s="864"/>
      <c r="D32" s="864"/>
      <c r="E32" s="114"/>
      <c r="G32" s="252">
        <v>3</v>
      </c>
      <c r="H32" s="866" t="s">
        <v>535</v>
      </c>
      <c r="I32" s="866"/>
    </row>
    <row r="33" spans="2:9" x14ac:dyDescent="0.25">
      <c r="B33" s="864" t="s">
        <v>524</v>
      </c>
      <c r="C33" s="864"/>
      <c r="D33" s="864"/>
      <c r="E33" s="114"/>
      <c r="G33" s="252">
        <v>2</v>
      </c>
      <c r="H33" s="866" t="s">
        <v>536</v>
      </c>
      <c r="I33" s="866"/>
    </row>
    <row r="34" spans="2:9" x14ac:dyDescent="0.25">
      <c r="B34" s="864" t="s">
        <v>523</v>
      </c>
      <c r="C34" s="864"/>
      <c r="D34" s="864"/>
      <c r="E34" s="114"/>
      <c r="G34" s="252">
        <v>1</v>
      </c>
      <c r="H34" s="866" t="s">
        <v>537</v>
      </c>
      <c r="I34" s="866"/>
    </row>
    <row r="35" spans="2:9" x14ac:dyDescent="0.25">
      <c r="B35" s="864" t="s">
        <v>525</v>
      </c>
      <c r="C35" s="864"/>
      <c r="D35" s="864"/>
      <c r="E35" s="114"/>
    </row>
    <row r="36" spans="2:9" x14ac:dyDescent="0.25">
      <c r="B36" s="864" t="s">
        <v>526</v>
      </c>
      <c r="C36" s="864"/>
      <c r="D36" s="864"/>
      <c r="E36" s="114"/>
    </row>
    <row r="37" spans="2:9" x14ac:dyDescent="0.25">
      <c r="B37" s="864" t="s">
        <v>527</v>
      </c>
      <c r="C37" s="864"/>
      <c r="D37" s="864"/>
      <c r="E37" s="114"/>
    </row>
    <row r="38" spans="2:9" x14ac:dyDescent="0.25">
      <c r="B38" s="864" t="s">
        <v>528</v>
      </c>
      <c r="C38" s="864"/>
      <c r="D38" s="864"/>
      <c r="E38" s="114"/>
    </row>
    <row r="39" spans="2:9" x14ac:dyDescent="0.25">
      <c r="B39" s="864" t="s">
        <v>529</v>
      </c>
      <c r="C39" s="864"/>
      <c r="D39" s="864"/>
      <c r="E39" s="114"/>
      <c r="G39" s="863" t="s">
        <v>541</v>
      </c>
      <c r="H39" s="863"/>
      <c r="I39" s="863"/>
    </row>
    <row r="40" spans="2:9" x14ac:dyDescent="0.25">
      <c r="B40" s="865" t="s">
        <v>395</v>
      </c>
      <c r="C40" s="865"/>
      <c r="D40" s="865"/>
      <c r="E40" s="258">
        <f>SUM(E31:E39)</f>
        <v>0</v>
      </c>
      <c r="G40" s="254" t="s">
        <v>542</v>
      </c>
      <c r="H40" s="257" t="s">
        <v>543</v>
      </c>
      <c r="I40" s="254" t="s">
        <v>544</v>
      </c>
    </row>
    <row r="41" spans="2:9" x14ac:dyDescent="0.25">
      <c r="E41" s="202" t="s">
        <v>576</v>
      </c>
      <c r="G41" s="254" t="s">
        <v>545</v>
      </c>
      <c r="H41" s="254" t="s">
        <v>547</v>
      </c>
      <c r="I41" s="254" t="s">
        <v>546</v>
      </c>
    </row>
    <row r="43" spans="2:9" x14ac:dyDescent="0.25">
      <c r="B43" s="860" t="s">
        <v>520</v>
      </c>
      <c r="C43" s="861"/>
      <c r="D43" s="862"/>
      <c r="E43" s="251">
        <v>1</v>
      </c>
      <c r="G43" s="254">
        <v>1</v>
      </c>
      <c r="H43" s="254" t="s">
        <v>539</v>
      </c>
    </row>
    <row r="44" spans="2:9" x14ac:dyDescent="0.25">
      <c r="G44" s="254">
        <v>0</v>
      </c>
      <c r="H44" s="254" t="s">
        <v>540</v>
      </c>
    </row>
  </sheetData>
  <mergeCells count="45">
    <mergeCell ref="G6:I6"/>
    <mergeCell ref="B23:E23"/>
    <mergeCell ref="B18:E18"/>
    <mergeCell ref="B28:E28"/>
    <mergeCell ref="B12:E12"/>
    <mergeCell ref="B19:E19"/>
    <mergeCell ref="B27:E27"/>
    <mergeCell ref="B26:E26"/>
    <mergeCell ref="B20:E20"/>
    <mergeCell ref="B21:E21"/>
    <mergeCell ref="B22:E22"/>
    <mergeCell ref="B13:E13"/>
    <mergeCell ref="B14:E14"/>
    <mergeCell ref="B15:E15"/>
    <mergeCell ref="B16:E16"/>
    <mergeCell ref="B17:E17"/>
    <mergeCell ref="A2:E2"/>
    <mergeCell ref="B7:E7"/>
    <mergeCell ref="B8:E8"/>
    <mergeCell ref="B9:E9"/>
    <mergeCell ref="B11:E11"/>
    <mergeCell ref="C5:D5"/>
    <mergeCell ref="B10:E10"/>
    <mergeCell ref="C4:D4"/>
    <mergeCell ref="G31:I31"/>
    <mergeCell ref="B32:D32"/>
    <mergeCell ref="H32:I32"/>
    <mergeCell ref="B24:E24"/>
    <mergeCell ref="B25:E25"/>
    <mergeCell ref="B43:D43"/>
    <mergeCell ref="G4:I4"/>
    <mergeCell ref="G5:I5"/>
    <mergeCell ref="G39:I39"/>
    <mergeCell ref="B36:D36"/>
    <mergeCell ref="B37:D37"/>
    <mergeCell ref="B38:D38"/>
    <mergeCell ref="B39:D39"/>
    <mergeCell ref="B40:D40"/>
    <mergeCell ref="B33:D33"/>
    <mergeCell ref="H33:I33"/>
    <mergeCell ref="B34:D34"/>
    <mergeCell ref="H34:I34"/>
    <mergeCell ref="B35:D35"/>
    <mergeCell ref="B30:D30"/>
    <mergeCell ref="B31:D31"/>
  </mergeCells>
  <conditionalFormatting sqref="E5">
    <cfRule type="containsText" dxfId="245" priority="1" operator="containsText" text="Terminé">
      <formula>NOT(ISERROR(SEARCH("Terminé",E5)))</formula>
    </cfRule>
    <cfRule type="containsText" dxfId="244" priority="2" operator="containsText" text="En cours">
      <formula>NOT(ISERROR(SEARCH("En cours",E5)))</formula>
    </cfRule>
    <cfRule type="containsText" dxfId="243"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pageSetup paperSize="9" scale="9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44"/>
  <sheetViews>
    <sheetView zoomScale="115" zoomScaleNormal="115" zoomScaleSheetLayoutView="100" workbookViewId="0">
      <selection activeCell="G4" sqref="G4:I4"/>
    </sheetView>
  </sheetViews>
  <sheetFormatPr baseColWidth="10" defaultRowHeight="23.25" customHeight="1"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9" width="11.42578125" style="37"/>
    <col min="10" max="13" width="11.42578125" style="37" customWidth="1"/>
    <col min="14" max="16384" width="11.42578125" style="37"/>
  </cols>
  <sheetData>
    <row r="1" spans="1:13" ht="23.25" customHeight="1" x14ac:dyDescent="0.35">
      <c r="A1" s="11" t="s">
        <v>87</v>
      </c>
      <c r="B1" s="11"/>
      <c r="C1" s="11"/>
      <c r="D1" s="11"/>
      <c r="E1" s="11"/>
    </row>
    <row r="2" spans="1:13" ht="23.25" customHeight="1" x14ac:dyDescent="0.4">
      <c r="A2" s="856" t="s">
        <v>913</v>
      </c>
      <c r="B2" s="856"/>
      <c r="C2" s="856"/>
      <c r="D2" s="856"/>
      <c r="E2" s="856"/>
    </row>
    <row r="3" spans="1:13" ht="23.25" customHeight="1" thickBot="1" x14ac:dyDescent="0.45">
      <c r="A3" s="113"/>
      <c r="B3" s="113"/>
      <c r="C3" s="113"/>
      <c r="D3" s="113"/>
      <c r="E3" s="113"/>
    </row>
    <row r="4" spans="1:13" ht="23.25" customHeight="1" thickBot="1" x14ac:dyDescent="0.3">
      <c r="A4" s="12"/>
      <c r="B4" s="233" t="s">
        <v>469</v>
      </c>
      <c r="C4" s="851" t="s">
        <v>35</v>
      </c>
      <c r="D4" s="852"/>
      <c r="E4" s="174" t="s">
        <v>309</v>
      </c>
      <c r="G4" s="848" t="s">
        <v>914</v>
      </c>
      <c r="H4" s="848"/>
      <c r="I4" s="848"/>
    </row>
    <row r="5" spans="1:13" ht="23.25" customHeight="1" x14ac:dyDescent="0.25">
      <c r="A5" s="381" t="s">
        <v>651</v>
      </c>
      <c r="B5" s="382" t="s">
        <v>659</v>
      </c>
      <c r="C5" s="820" t="s">
        <v>18</v>
      </c>
      <c r="D5" s="820"/>
      <c r="E5" s="232" t="s">
        <v>20</v>
      </c>
      <c r="G5" s="848" t="s">
        <v>915</v>
      </c>
      <c r="H5" s="848"/>
      <c r="I5" s="848"/>
    </row>
    <row r="6" spans="1:13" ht="23.25" customHeight="1" thickBot="1" x14ac:dyDescent="0.3">
      <c r="A6" s="379" t="s">
        <v>660</v>
      </c>
      <c r="B6" s="380" t="s">
        <v>658</v>
      </c>
      <c r="C6" s="16"/>
      <c r="D6" s="16"/>
      <c r="E6" s="16"/>
      <c r="G6" s="850" t="s">
        <v>916</v>
      </c>
      <c r="H6" s="850"/>
      <c r="I6" s="850"/>
      <c r="J6" s="37">
        <v>1.06</v>
      </c>
      <c r="K6" s="37">
        <v>2.1800000000000002</v>
      </c>
      <c r="L6" s="37">
        <v>1</v>
      </c>
      <c r="M6" s="37">
        <f>L6*K6*J6</f>
        <v>2.3108000000000004</v>
      </c>
    </row>
    <row r="7" spans="1:13" ht="24" customHeight="1" thickBot="1" x14ac:dyDescent="0.3">
      <c r="A7" s="207" t="s">
        <v>1</v>
      </c>
      <c r="B7" s="857" t="s">
        <v>184</v>
      </c>
      <c r="C7" s="857"/>
      <c r="D7" s="857"/>
      <c r="E7" s="857"/>
    </row>
    <row r="8" spans="1:13" ht="24" customHeight="1" thickBot="1" x14ac:dyDescent="0.3">
      <c r="A8" s="207" t="s">
        <v>0</v>
      </c>
      <c r="B8" s="857" t="s">
        <v>191</v>
      </c>
      <c r="C8" s="857"/>
      <c r="D8" s="857"/>
      <c r="E8" s="857"/>
    </row>
    <row r="9" spans="1:13" ht="54" customHeight="1" x14ac:dyDescent="0.25">
      <c r="A9" s="214" t="s">
        <v>2</v>
      </c>
      <c r="B9" s="854" t="s">
        <v>739</v>
      </c>
      <c r="C9" s="854"/>
      <c r="D9" s="854"/>
      <c r="E9" s="854"/>
      <c r="G9" s="116" t="s">
        <v>186</v>
      </c>
      <c r="H9" s="116" t="s">
        <v>187</v>
      </c>
      <c r="I9" s="116" t="s">
        <v>175</v>
      </c>
      <c r="J9" s="117" t="s">
        <v>192</v>
      </c>
      <c r="K9" s="117" t="s">
        <v>188</v>
      </c>
      <c r="L9" s="117"/>
      <c r="M9" s="117" t="s">
        <v>189</v>
      </c>
    </row>
    <row r="10" spans="1:13" ht="54" customHeight="1" x14ac:dyDescent="0.25">
      <c r="A10" s="214" t="s">
        <v>31</v>
      </c>
      <c r="B10" s="882"/>
      <c r="C10" s="882"/>
      <c r="D10" s="882"/>
      <c r="E10" s="882"/>
      <c r="G10" s="118">
        <v>1200</v>
      </c>
      <c r="H10" s="118">
        <v>0.1</v>
      </c>
      <c r="I10" s="118">
        <v>0.24</v>
      </c>
      <c r="J10" s="119">
        <v>4037</v>
      </c>
      <c r="K10" s="119">
        <v>14731</v>
      </c>
      <c r="L10" s="119">
        <v>0.11700000000000001</v>
      </c>
      <c r="M10" s="119">
        <v>0.17299999999999999</v>
      </c>
    </row>
    <row r="11" spans="1:13" ht="30" customHeight="1" x14ac:dyDescent="0.25">
      <c r="A11" s="215" t="s">
        <v>16</v>
      </c>
      <c r="B11" s="858" t="s">
        <v>512</v>
      </c>
      <c r="C11" s="858"/>
      <c r="D11" s="858"/>
      <c r="E11" s="858"/>
      <c r="H11" s="120">
        <f>K10/J10</f>
        <v>3.6489967797869705</v>
      </c>
    </row>
    <row r="12" spans="1:13" ht="30" customHeight="1" x14ac:dyDescent="0.25">
      <c r="A12" s="215" t="s">
        <v>3</v>
      </c>
      <c r="B12" s="858"/>
      <c r="C12" s="858"/>
      <c r="D12" s="858"/>
      <c r="E12" s="858"/>
    </row>
    <row r="13" spans="1:13" ht="30" customHeight="1" x14ac:dyDescent="0.25">
      <c r="A13" s="215" t="s">
        <v>17</v>
      </c>
      <c r="B13" s="883" t="s">
        <v>938</v>
      </c>
      <c r="C13" s="883"/>
      <c r="D13" s="883"/>
      <c r="E13" s="883"/>
    </row>
    <row r="14" spans="1:13" ht="30" customHeight="1" x14ac:dyDescent="0.25">
      <c r="A14" s="215" t="s">
        <v>4</v>
      </c>
      <c r="B14" s="874">
        <v>2015</v>
      </c>
      <c r="C14" s="874"/>
      <c r="D14" s="874"/>
      <c r="E14" s="874"/>
    </row>
    <row r="15" spans="1:13" ht="30" customHeight="1" x14ac:dyDescent="0.25">
      <c r="A15" s="215" t="s">
        <v>5</v>
      </c>
      <c r="B15" s="874">
        <v>2020</v>
      </c>
      <c r="C15" s="874"/>
      <c r="D15" s="874"/>
      <c r="E15" s="874"/>
    </row>
    <row r="16" spans="1:13" ht="30" customHeight="1" x14ac:dyDescent="0.25">
      <c r="A16" s="215" t="s">
        <v>6</v>
      </c>
      <c r="B16" s="845">
        <v>0</v>
      </c>
      <c r="C16" s="845"/>
      <c r="D16" s="845"/>
      <c r="E16" s="845"/>
    </row>
    <row r="17" spans="1:9" ht="30" customHeight="1" x14ac:dyDescent="0.25">
      <c r="A17" s="215" t="s">
        <v>7</v>
      </c>
      <c r="B17" s="845">
        <v>0</v>
      </c>
      <c r="C17" s="845"/>
      <c r="D17" s="845"/>
      <c r="E17" s="845"/>
    </row>
    <row r="18" spans="1:9" ht="30" customHeight="1" x14ac:dyDescent="0.25">
      <c r="A18" s="210" t="s">
        <v>468</v>
      </c>
      <c r="B18" s="868">
        <f>H11*H10*G10*1000</f>
        <v>437879.61357443646</v>
      </c>
      <c r="C18" s="869"/>
      <c r="D18" s="869"/>
      <c r="E18" s="869"/>
      <c r="G18" s="2"/>
      <c r="H18" s="2"/>
    </row>
    <row r="19" spans="1:9" ht="30" customHeight="1" x14ac:dyDescent="0.25">
      <c r="A19" s="238" t="s">
        <v>467</v>
      </c>
      <c r="B19" s="870"/>
      <c r="C19" s="871"/>
      <c r="D19" s="871"/>
      <c r="E19" s="871"/>
      <c r="G19" s="2"/>
      <c r="H19" s="2"/>
    </row>
    <row r="20" spans="1:9" ht="30" customHeight="1" x14ac:dyDescent="0.25">
      <c r="A20" s="215" t="s">
        <v>8</v>
      </c>
      <c r="B20" s="845">
        <f>B18*I10</f>
        <v>105091.10725786474</v>
      </c>
      <c r="C20" s="845"/>
      <c r="D20" s="845"/>
      <c r="E20" s="845"/>
    </row>
    <row r="21" spans="1:9" ht="30" customHeight="1" x14ac:dyDescent="0.25">
      <c r="A21" s="215" t="s">
        <v>9</v>
      </c>
      <c r="B21" s="845"/>
      <c r="C21" s="845"/>
      <c r="D21" s="845"/>
      <c r="E21" s="845"/>
    </row>
    <row r="22" spans="1:9" ht="30" customHeight="1" x14ac:dyDescent="0.25">
      <c r="A22" s="215" t="s">
        <v>465</v>
      </c>
      <c r="B22" s="846">
        <f>B16/(B20+B21)</f>
        <v>0</v>
      </c>
      <c r="C22" s="846"/>
      <c r="D22" s="846"/>
      <c r="E22" s="846"/>
    </row>
    <row r="23" spans="1:9" ht="30" customHeight="1" x14ac:dyDescent="0.25">
      <c r="A23" s="215" t="s">
        <v>466</v>
      </c>
      <c r="B23" s="847">
        <f>(B16-B17)/(B20+B21)</f>
        <v>0</v>
      </c>
      <c r="C23" s="847"/>
      <c r="D23" s="847"/>
      <c r="E23" s="847"/>
    </row>
    <row r="24" spans="1:9" ht="30" customHeight="1" x14ac:dyDescent="0.25">
      <c r="A24" s="216" t="s">
        <v>476</v>
      </c>
      <c r="B24" s="884">
        <f>B18*L10/1000</f>
        <v>51.231914788209068</v>
      </c>
      <c r="C24" s="884"/>
      <c r="D24" s="884"/>
      <c r="E24" s="884"/>
    </row>
    <row r="25" spans="1:9" ht="30" customHeight="1" x14ac:dyDescent="0.25">
      <c r="A25" s="217" t="s">
        <v>463</v>
      </c>
      <c r="B25" s="881">
        <f>B24/'Objectifs CO2'!C12</f>
        <v>1.4847733475341426E-2</v>
      </c>
      <c r="C25" s="881"/>
      <c r="D25" s="881"/>
      <c r="E25" s="881"/>
    </row>
    <row r="26" spans="1:9" ht="30" customHeight="1" x14ac:dyDescent="0.25">
      <c r="A26" s="218" t="s">
        <v>464</v>
      </c>
      <c r="B26" s="881">
        <f>B24/'Objectifs CO2'!C8</f>
        <v>7.423866737670713E-3</v>
      </c>
      <c r="C26" s="881"/>
      <c r="D26" s="881"/>
      <c r="E26" s="881"/>
    </row>
    <row r="27" spans="1:9" ht="30" customHeight="1" x14ac:dyDescent="0.25">
      <c r="A27" s="218" t="s">
        <v>24</v>
      </c>
      <c r="B27" s="853"/>
      <c r="C27" s="853"/>
      <c r="D27" s="853"/>
      <c r="E27" s="853"/>
    </row>
    <row r="28" spans="1:9" ht="30" customHeight="1" x14ac:dyDescent="0.25">
      <c r="A28" s="213" t="s">
        <v>418</v>
      </c>
      <c r="B28" s="853" t="s">
        <v>425</v>
      </c>
      <c r="C28" s="853"/>
      <c r="D28" s="853"/>
      <c r="E28" s="853"/>
    </row>
    <row r="30" spans="1:9" ht="23.25" customHeight="1" x14ac:dyDescent="0.25">
      <c r="B30" s="867" t="s">
        <v>530</v>
      </c>
      <c r="C30" s="867"/>
      <c r="D30" s="867"/>
      <c r="E30" s="143" t="s">
        <v>538</v>
      </c>
    </row>
    <row r="31" spans="1:9" ht="23.25" customHeight="1" x14ac:dyDescent="0.25">
      <c r="B31" s="864" t="s">
        <v>521</v>
      </c>
      <c r="C31" s="864"/>
      <c r="D31" s="864"/>
      <c r="E31" s="114"/>
      <c r="G31" s="866" t="s">
        <v>538</v>
      </c>
      <c r="H31" s="866"/>
      <c r="I31" s="866"/>
    </row>
    <row r="32" spans="1:9" ht="23.25" customHeight="1" x14ac:dyDescent="0.25">
      <c r="B32" s="864" t="s">
        <v>522</v>
      </c>
      <c r="C32" s="864"/>
      <c r="D32" s="864"/>
      <c r="E32" s="114"/>
      <c r="G32" s="252">
        <v>3</v>
      </c>
      <c r="H32" s="866" t="s">
        <v>535</v>
      </c>
      <c r="I32" s="866"/>
    </row>
    <row r="33" spans="2:9" ht="23.25" customHeight="1" x14ac:dyDescent="0.25">
      <c r="B33" s="864" t="s">
        <v>524</v>
      </c>
      <c r="C33" s="864"/>
      <c r="D33" s="864"/>
      <c r="E33" s="114"/>
      <c r="G33" s="252">
        <v>2</v>
      </c>
      <c r="H33" s="866" t="s">
        <v>536</v>
      </c>
      <c r="I33" s="866"/>
    </row>
    <row r="34" spans="2:9" ht="23.25" customHeight="1" x14ac:dyDescent="0.25">
      <c r="B34" s="864" t="s">
        <v>523</v>
      </c>
      <c r="C34" s="864"/>
      <c r="D34" s="864"/>
      <c r="E34" s="114"/>
      <c r="G34" s="252">
        <v>1</v>
      </c>
      <c r="H34" s="866" t="s">
        <v>537</v>
      </c>
      <c r="I34" s="866"/>
    </row>
    <row r="35" spans="2:9" ht="23.25" customHeight="1" x14ac:dyDescent="0.25">
      <c r="B35" s="864" t="s">
        <v>525</v>
      </c>
      <c r="C35" s="864"/>
      <c r="D35" s="864"/>
      <c r="E35" s="114"/>
    </row>
    <row r="36" spans="2:9" ht="23.25" customHeight="1" x14ac:dyDescent="0.25">
      <c r="B36" s="864" t="s">
        <v>526</v>
      </c>
      <c r="C36" s="864"/>
      <c r="D36" s="864"/>
      <c r="E36" s="114"/>
    </row>
    <row r="37" spans="2:9" ht="23.25" customHeight="1" x14ac:dyDescent="0.25">
      <c r="B37" s="864" t="s">
        <v>527</v>
      </c>
      <c r="C37" s="864"/>
      <c r="D37" s="864"/>
      <c r="E37" s="114"/>
    </row>
    <row r="38" spans="2:9" ht="23.25" customHeight="1" x14ac:dyDescent="0.25">
      <c r="B38" s="864" t="s">
        <v>528</v>
      </c>
      <c r="C38" s="864"/>
      <c r="D38" s="864"/>
      <c r="E38" s="114"/>
    </row>
    <row r="39" spans="2:9" ht="23.25" customHeight="1" x14ac:dyDescent="0.25">
      <c r="B39" s="864" t="s">
        <v>529</v>
      </c>
      <c r="C39" s="864"/>
      <c r="D39" s="864"/>
      <c r="E39" s="114"/>
      <c r="G39" s="863" t="s">
        <v>541</v>
      </c>
      <c r="H39" s="863"/>
      <c r="I39" s="863"/>
    </row>
    <row r="40" spans="2:9" ht="23.25" customHeight="1" x14ac:dyDescent="0.25">
      <c r="B40" s="865" t="s">
        <v>395</v>
      </c>
      <c r="C40" s="865"/>
      <c r="D40" s="865"/>
      <c r="E40" s="258">
        <f>SUM(E31:E39)</f>
        <v>0</v>
      </c>
      <c r="G40" s="254" t="s">
        <v>542</v>
      </c>
      <c r="H40" s="257" t="s">
        <v>543</v>
      </c>
      <c r="I40" s="254" t="s">
        <v>544</v>
      </c>
    </row>
    <row r="41" spans="2:9" ht="23.25" customHeight="1" x14ac:dyDescent="0.25">
      <c r="E41" s="202" t="s">
        <v>576</v>
      </c>
      <c r="G41" s="254" t="s">
        <v>545</v>
      </c>
      <c r="H41" s="254" t="s">
        <v>547</v>
      </c>
      <c r="I41" s="254" t="s">
        <v>546</v>
      </c>
    </row>
    <row r="43" spans="2:9" ht="23.25" customHeight="1" x14ac:dyDescent="0.25">
      <c r="B43" s="860" t="s">
        <v>520</v>
      </c>
      <c r="C43" s="861"/>
      <c r="D43" s="862"/>
      <c r="E43" s="251">
        <v>1</v>
      </c>
      <c r="G43" s="254">
        <v>1</v>
      </c>
      <c r="H43" s="254" t="s">
        <v>539</v>
      </c>
    </row>
    <row r="44" spans="2:9" ht="23.25" customHeight="1" x14ac:dyDescent="0.25">
      <c r="G44" s="254">
        <v>0</v>
      </c>
      <c r="H44" s="254" t="s">
        <v>540</v>
      </c>
    </row>
  </sheetData>
  <mergeCells count="45">
    <mergeCell ref="G6:I6"/>
    <mergeCell ref="B16:E16"/>
    <mergeCell ref="A2:E2"/>
    <mergeCell ref="B7:E7"/>
    <mergeCell ref="B8:E8"/>
    <mergeCell ref="B9:E9"/>
    <mergeCell ref="B10:E10"/>
    <mergeCell ref="B11:E11"/>
    <mergeCell ref="B12:E12"/>
    <mergeCell ref="B13:E13"/>
    <mergeCell ref="B14:E14"/>
    <mergeCell ref="B15:E15"/>
    <mergeCell ref="C5:D5"/>
    <mergeCell ref="C4:D4"/>
    <mergeCell ref="G31:I31"/>
    <mergeCell ref="B32:D32"/>
    <mergeCell ref="H32:I32"/>
    <mergeCell ref="B27:E27"/>
    <mergeCell ref="B17:E17"/>
    <mergeCell ref="B18:E18"/>
    <mergeCell ref="B20:E20"/>
    <mergeCell ref="B21:E21"/>
    <mergeCell ref="B22:E22"/>
    <mergeCell ref="B23:E23"/>
    <mergeCell ref="B19:E19"/>
    <mergeCell ref="B28:E28"/>
    <mergeCell ref="B24:E24"/>
    <mergeCell ref="B25:E25"/>
    <mergeCell ref="B26:E26"/>
    <mergeCell ref="B43:D43"/>
    <mergeCell ref="G4:I4"/>
    <mergeCell ref="G5:I5"/>
    <mergeCell ref="G39:I39"/>
    <mergeCell ref="B36:D36"/>
    <mergeCell ref="B37:D37"/>
    <mergeCell ref="B38:D38"/>
    <mergeCell ref="B39:D39"/>
    <mergeCell ref="B40:D40"/>
    <mergeCell ref="B33:D33"/>
    <mergeCell ref="H33:I33"/>
    <mergeCell ref="B34:D34"/>
    <mergeCell ref="H34:I34"/>
    <mergeCell ref="B35:D35"/>
    <mergeCell ref="B30:D30"/>
    <mergeCell ref="B31:D31"/>
  </mergeCells>
  <conditionalFormatting sqref="E5">
    <cfRule type="containsText" dxfId="242" priority="1" operator="containsText" text="Terminé">
      <formula>NOT(ISERROR(SEARCH("Terminé",E5)))</formula>
    </cfRule>
    <cfRule type="containsText" dxfId="241" priority="2" operator="containsText" text="En cours">
      <formula>NOT(ISERROR(SEARCH("En cours",E5)))</formula>
    </cfRule>
    <cfRule type="containsText" dxfId="240"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pageSetup paperSize="9" scale="9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44"/>
  <sheetViews>
    <sheetView topLeftCell="B1" zoomScale="115" zoomScaleNormal="115" zoomScaleSheetLayoutView="106" workbookViewId="0">
      <selection activeCell="G4" sqref="G4:I4"/>
    </sheetView>
  </sheetViews>
  <sheetFormatPr baseColWidth="10" defaultRowHeight="23.25" customHeight="1" x14ac:dyDescent="0.25"/>
  <cols>
    <col min="1" max="1" width="40.7109375" style="44" customWidth="1"/>
    <col min="2" max="2" width="16.7109375" style="44" customWidth="1"/>
    <col min="3" max="3" width="17.140625" style="44" customWidth="1"/>
    <col min="4" max="4" width="4.5703125" style="44" bestFit="1" customWidth="1"/>
    <col min="5" max="5" width="17.42578125" style="44" customWidth="1"/>
    <col min="6" max="6" width="1.140625" style="44" customWidth="1"/>
    <col min="7" max="9" width="11.42578125" style="44"/>
    <col min="10" max="13" width="0" style="44" hidden="1" customWidth="1"/>
    <col min="14" max="16384" width="11.42578125" style="44"/>
  </cols>
  <sheetData>
    <row r="1" spans="1:13" ht="23.25" customHeight="1" x14ac:dyDescent="0.25">
      <c r="A1" s="42" t="s">
        <v>87</v>
      </c>
      <c r="B1" s="42"/>
      <c r="C1" s="42"/>
      <c r="D1" s="42"/>
      <c r="E1" s="42"/>
    </row>
    <row r="2" spans="1:13" ht="23.25" customHeight="1" x14ac:dyDescent="0.25">
      <c r="A2" s="888" t="s">
        <v>913</v>
      </c>
      <c r="B2" s="888"/>
      <c r="C2" s="888"/>
      <c r="D2" s="888"/>
      <c r="E2" s="888"/>
    </row>
    <row r="3" spans="1:13" ht="23.25" customHeight="1" thickBot="1" x14ac:dyDescent="0.3">
      <c r="A3" s="45"/>
      <c r="B3" s="45"/>
      <c r="C3" s="45"/>
      <c r="D3" s="45"/>
      <c r="E3" s="45"/>
    </row>
    <row r="4" spans="1:13" ht="23.25" customHeight="1" thickBot="1" x14ac:dyDescent="0.3">
      <c r="A4" s="43"/>
      <c r="B4" s="233" t="s">
        <v>469</v>
      </c>
      <c r="C4" s="851" t="s">
        <v>39</v>
      </c>
      <c r="D4" s="852"/>
      <c r="E4" s="174" t="s">
        <v>317</v>
      </c>
      <c r="G4" s="848" t="s">
        <v>914</v>
      </c>
      <c r="H4" s="848"/>
      <c r="I4" s="848"/>
    </row>
    <row r="5" spans="1:13" ht="23.25" customHeight="1" x14ac:dyDescent="0.25">
      <c r="A5" s="381" t="s">
        <v>651</v>
      </c>
      <c r="B5" s="382" t="s">
        <v>659</v>
      </c>
      <c r="C5" s="820" t="s">
        <v>18</v>
      </c>
      <c r="D5" s="820"/>
      <c r="E5" s="232" t="s">
        <v>19</v>
      </c>
      <c r="G5" s="848" t="s">
        <v>915</v>
      </c>
      <c r="H5" s="848"/>
      <c r="I5" s="848"/>
    </row>
    <row r="6" spans="1:13" ht="23.25" customHeight="1" thickBot="1" x14ac:dyDescent="0.3">
      <c r="A6" s="379" t="s">
        <v>660</v>
      </c>
      <c r="B6" s="380" t="s">
        <v>658</v>
      </c>
      <c r="C6" s="46"/>
      <c r="D6" s="46"/>
      <c r="E6" s="46"/>
      <c r="G6" s="850" t="s">
        <v>916</v>
      </c>
      <c r="H6" s="850"/>
      <c r="I6" s="850"/>
      <c r="J6" s="44">
        <v>1.06</v>
      </c>
      <c r="K6" s="44">
        <v>2.1800000000000002</v>
      </c>
      <c r="L6" s="44">
        <v>1</v>
      </c>
      <c r="M6" s="44">
        <f>L6*K6*J6</f>
        <v>2.3108000000000004</v>
      </c>
    </row>
    <row r="7" spans="1:13" ht="24" customHeight="1" thickBot="1" x14ac:dyDescent="0.3">
      <c r="A7" s="207" t="s">
        <v>1</v>
      </c>
      <c r="B7" s="857" t="s">
        <v>38</v>
      </c>
      <c r="C7" s="857"/>
      <c r="D7" s="857"/>
      <c r="E7" s="857"/>
      <c r="J7" s="44">
        <v>1.0649999999999999</v>
      </c>
      <c r="K7" s="44">
        <v>2.19</v>
      </c>
      <c r="L7" s="44">
        <v>1</v>
      </c>
      <c r="M7" s="44">
        <f t="shared" ref="M7:M24" si="0">L7*K7*J7</f>
        <v>2.3323499999999999</v>
      </c>
    </row>
    <row r="8" spans="1:13" ht="24" customHeight="1" thickBot="1" x14ac:dyDescent="0.3">
      <c r="A8" s="207" t="s">
        <v>0</v>
      </c>
      <c r="B8" s="857" t="s">
        <v>310</v>
      </c>
      <c r="C8" s="857"/>
      <c r="D8" s="857"/>
      <c r="E8" s="857"/>
      <c r="J8" s="44">
        <v>1.06</v>
      </c>
      <c r="K8" s="44">
        <v>3.0150000000000001</v>
      </c>
      <c r="L8" s="44">
        <v>1</v>
      </c>
      <c r="M8" s="44">
        <f t="shared" si="0"/>
        <v>3.1959000000000004</v>
      </c>
    </row>
    <row r="9" spans="1:13" ht="72" customHeight="1" x14ac:dyDescent="0.25">
      <c r="A9" s="214" t="s">
        <v>2</v>
      </c>
      <c r="B9" s="854" t="s">
        <v>311</v>
      </c>
      <c r="C9" s="854"/>
      <c r="D9" s="854"/>
      <c r="E9" s="854"/>
      <c r="J9" s="44">
        <v>1.06</v>
      </c>
      <c r="K9" s="44">
        <v>0.81499999999999995</v>
      </c>
      <c r="L9" s="44">
        <v>1</v>
      </c>
      <c r="M9" s="44">
        <f t="shared" si="0"/>
        <v>0.8639</v>
      </c>
    </row>
    <row r="10" spans="1:13" ht="54" customHeight="1" x14ac:dyDescent="0.25">
      <c r="A10" s="214" t="s">
        <v>31</v>
      </c>
      <c r="B10" s="889" t="s">
        <v>757</v>
      </c>
      <c r="C10" s="889"/>
      <c r="D10" s="889"/>
      <c r="E10" s="889"/>
      <c r="J10" s="44">
        <v>1.06</v>
      </c>
      <c r="K10" s="44">
        <v>2.1800000000000002</v>
      </c>
      <c r="L10" s="44">
        <v>1</v>
      </c>
      <c r="M10" s="44">
        <f t="shared" si="0"/>
        <v>2.3108000000000004</v>
      </c>
    </row>
    <row r="11" spans="1:13" ht="30" customHeight="1" x14ac:dyDescent="0.25">
      <c r="A11" s="215" t="s">
        <v>16</v>
      </c>
      <c r="B11" s="874" t="s">
        <v>86</v>
      </c>
      <c r="C11" s="874"/>
      <c r="D11" s="874"/>
      <c r="E11" s="874"/>
      <c r="J11" s="44">
        <v>1.27</v>
      </c>
      <c r="K11" s="44">
        <v>2.0099999999999998</v>
      </c>
      <c r="L11" s="44">
        <v>6</v>
      </c>
      <c r="M11" s="44">
        <f t="shared" si="0"/>
        <v>15.316199999999998</v>
      </c>
    </row>
    <row r="12" spans="1:13" ht="30" customHeight="1" x14ac:dyDescent="0.25">
      <c r="A12" s="215" t="s">
        <v>3</v>
      </c>
      <c r="B12" s="874"/>
      <c r="C12" s="874"/>
      <c r="D12" s="874"/>
      <c r="E12" s="874"/>
      <c r="J12" s="44">
        <v>1.27</v>
      </c>
      <c r="K12" s="44">
        <v>2.0099999999999998</v>
      </c>
      <c r="L12" s="44">
        <v>1</v>
      </c>
      <c r="M12" s="44">
        <f t="shared" si="0"/>
        <v>2.5526999999999997</v>
      </c>
    </row>
    <row r="13" spans="1:13" ht="30" customHeight="1" x14ac:dyDescent="0.25">
      <c r="A13" s="215" t="s">
        <v>17</v>
      </c>
      <c r="B13" s="874" t="s">
        <v>858</v>
      </c>
      <c r="C13" s="874"/>
      <c r="D13" s="874"/>
      <c r="E13" s="874"/>
      <c r="J13" s="44">
        <v>1.28</v>
      </c>
      <c r="K13" s="44">
        <v>2.0099999999999998</v>
      </c>
      <c r="L13" s="44">
        <v>1</v>
      </c>
      <c r="M13" s="44">
        <f t="shared" si="0"/>
        <v>2.5728</v>
      </c>
    </row>
    <row r="14" spans="1:13" ht="30" customHeight="1" x14ac:dyDescent="0.25">
      <c r="A14" s="215" t="s">
        <v>4</v>
      </c>
      <c r="B14" s="874">
        <v>2016</v>
      </c>
      <c r="C14" s="874"/>
      <c r="D14" s="874"/>
      <c r="E14" s="874"/>
      <c r="F14" s="85"/>
      <c r="J14" s="44">
        <v>1.28</v>
      </c>
      <c r="K14" s="44">
        <v>2.0099999999999998</v>
      </c>
      <c r="L14" s="44">
        <v>1</v>
      </c>
      <c r="M14" s="44">
        <f t="shared" si="0"/>
        <v>2.5728</v>
      </c>
    </row>
    <row r="15" spans="1:13" ht="30" customHeight="1" x14ac:dyDescent="0.25">
      <c r="A15" s="215" t="s">
        <v>5</v>
      </c>
      <c r="B15" s="874">
        <v>2020</v>
      </c>
      <c r="C15" s="874"/>
      <c r="D15" s="874"/>
      <c r="E15" s="874"/>
      <c r="F15" s="85"/>
      <c r="J15" s="44">
        <v>1.27</v>
      </c>
      <c r="K15" s="44">
        <v>2.0099999999999998</v>
      </c>
      <c r="L15" s="44">
        <v>1</v>
      </c>
      <c r="M15" s="44">
        <f t="shared" si="0"/>
        <v>2.5526999999999997</v>
      </c>
    </row>
    <row r="16" spans="1:13" ht="30" customHeight="1" x14ac:dyDescent="0.25">
      <c r="A16" s="215" t="s">
        <v>6</v>
      </c>
      <c r="B16" s="845">
        <v>0</v>
      </c>
      <c r="C16" s="845"/>
      <c r="D16" s="845"/>
      <c r="E16" s="845"/>
      <c r="F16" s="86"/>
      <c r="J16" s="44">
        <v>1.2749999999999999</v>
      </c>
      <c r="K16" s="44">
        <v>2.0099999999999998</v>
      </c>
      <c r="L16" s="44">
        <v>3</v>
      </c>
      <c r="M16" s="44">
        <f t="shared" si="0"/>
        <v>7.6882499999999983</v>
      </c>
    </row>
    <row r="17" spans="1:13" ht="30" customHeight="1" x14ac:dyDescent="0.25">
      <c r="A17" s="215" t="s">
        <v>7</v>
      </c>
      <c r="B17" s="845">
        <v>0</v>
      </c>
      <c r="C17" s="845"/>
      <c r="D17" s="845"/>
      <c r="E17" s="845"/>
      <c r="F17" s="87"/>
      <c r="J17" s="44">
        <v>1.0900000000000001</v>
      </c>
      <c r="K17" s="44">
        <v>2.165</v>
      </c>
      <c r="L17" s="44">
        <v>1</v>
      </c>
      <c r="M17" s="44">
        <f t="shared" si="0"/>
        <v>2.3598500000000002</v>
      </c>
    </row>
    <row r="18" spans="1:13" ht="30" customHeight="1" x14ac:dyDescent="0.25">
      <c r="A18" s="210" t="s">
        <v>468</v>
      </c>
      <c r="B18" s="868"/>
      <c r="C18" s="869"/>
      <c r="D18" s="869"/>
      <c r="E18" s="869"/>
      <c r="F18" s="85"/>
      <c r="H18" s="47"/>
      <c r="J18" s="44">
        <v>2.1749999999999998</v>
      </c>
      <c r="K18" s="44">
        <v>0.66</v>
      </c>
      <c r="L18" s="44">
        <v>2</v>
      </c>
      <c r="M18" s="44">
        <f t="shared" si="0"/>
        <v>2.871</v>
      </c>
    </row>
    <row r="19" spans="1:13" ht="30" customHeight="1" x14ac:dyDescent="0.25">
      <c r="A19" s="238" t="s">
        <v>467</v>
      </c>
      <c r="B19" s="870"/>
      <c r="C19" s="871"/>
      <c r="D19" s="871"/>
      <c r="E19" s="871"/>
      <c r="H19" s="47"/>
    </row>
    <row r="20" spans="1:13" ht="30" customHeight="1" x14ac:dyDescent="0.25">
      <c r="A20" s="215" t="s">
        <v>8</v>
      </c>
      <c r="B20" s="845">
        <v>1</v>
      </c>
      <c r="C20" s="845"/>
      <c r="D20" s="845"/>
      <c r="E20" s="845"/>
      <c r="F20" s="88"/>
      <c r="G20" s="44">
        <v>0.86</v>
      </c>
      <c r="J20" s="44">
        <v>0.56499999999999995</v>
      </c>
      <c r="K20" s="44">
        <v>2.0249999999999999</v>
      </c>
      <c r="L20" s="44">
        <v>4</v>
      </c>
      <c r="M20" s="44">
        <f t="shared" si="0"/>
        <v>4.5764999999999993</v>
      </c>
    </row>
    <row r="21" spans="1:13" ht="30" customHeight="1" x14ac:dyDescent="0.25">
      <c r="A21" s="215" t="s">
        <v>9</v>
      </c>
      <c r="B21" s="845"/>
      <c r="C21" s="845"/>
      <c r="D21" s="845"/>
      <c r="E21" s="845"/>
      <c r="F21" s="89"/>
      <c r="J21" s="44">
        <v>1.1000000000000001</v>
      </c>
      <c r="K21" s="44">
        <v>2.9849999999999999</v>
      </c>
      <c r="L21" s="44">
        <v>1</v>
      </c>
      <c r="M21" s="44">
        <f t="shared" si="0"/>
        <v>3.2835000000000001</v>
      </c>
    </row>
    <row r="22" spans="1:13" ht="30" customHeight="1" x14ac:dyDescent="0.25">
      <c r="A22" s="215" t="s">
        <v>465</v>
      </c>
      <c r="B22" s="846">
        <f>B16/(B20+B21)</f>
        <v>0</v>
      </c>
      <c r="C22" s="846"/>
      <c r="D22" s="846"/>
      <c r="E22" s="846"/>
      <c r="F22" s="89"/>
      <c r="J22" s="44">
        <v>1.08</v>
      </c>
      <c r="K22" s="44">
        <v>1.9850000000000001</v>
      </c>
      <c r="L22" s="44">
        <v>1</v>
      </c>
      <c r="M22" s="44">
        <f t="shared" si="0"/>
        <v>2.1438000000000001</v>
      </c>
    </row>
    <row r="23" spans="1:13" ht="30" customHeight="1" x14ac:dyDescent="0.25">
      <c r="A23" s="215" t="s">
        <v>466</v>
      </c>
      <c r="B23" s="847">
        <f>(B16-B17)/(B20+B21)</f>
        <v>0</v>
      </c>
      <c r="C23" s="847"/>
      <c r="D23" s="847"/>
      <c r="E23" s="847"/>
      <c r="F23" s="90"/>
      <c r="J23" s="44">
        <v>1.05</v>
      </c>
      <c r="K23" s="44">
        <v>1.99</v>
      </c>
      <c r="L23" s="44">
        <v>5</v>
      </c>
      <c r="M23" s="44">
        <f t="shared" si="0"/>
        <v>10.4475</v>
      </c>
    </row>
    <row r="24" spans="1:13" ht="30" customHeight="1" x14ac:dyDescent="0.25">
      <c r="A24" s="216" t="s">
        <v>476</v>
      </c>
      <c r="B24" s="849">
        <f>B18*G24/1000</f>
        <v>0</v>
      </c>
      <c r="C24" s="849"/>
      <c r="D24" s="849"/>
      <c r="E24" s="849"/>
      <c r="F24" s="91"/>
      <c r="G24" s="44">
        <v>0.26100000000000001</v>
      </c>
      <c r="J24" s="44">
        <v>1.2350000000000001</v>
      </c>
      <c r="K24" s="44">
        <v>2.9849999999999999</v>
      </c>
      <c r="L24" s="44">
        <v>2</v>
      </c>
      <c r="M24" s="44">
        <f t="shared" si="0"/>
        <v>7.3729500000000003</v>
      </c>
    </row>
    <row r="25" spans="1:13" ht="30" customHeight="1" x14ac:dyDescent="0.25">
      <c r="A25" s="217" t="s">
        <v>463</v>
      </c>
      <c r="B25" s="885">
        <f>B24/'Objectifs CO2'!C15</f>
        <v>0</v>
      </c>
      <c r="C25" s="886"/>
      <c r="D25" s="886"/>
      <c r="E25" s="887"/>
      <c r="F25" s="92"/>
      <c r="M25" s="44">
        <f>SUM(M6:M24)</f>
        <v>77.324300000000008</v>
      </c>
    </row>
    <row r="26" spans="1:13" ht="30" customHeight="1" x14ac:dyDescent="0.25">
      <c r="A26" s="218" t="s">
        <v>464</v>
      </c>
      <c r="B26" s="885">
        <f>B24/'Objectifs CO2'!C8</f>
        <v>0</v>
      </c>
      <c r="C26" s="886"/>
      <c r="D26" s="886"/>
      <c r="E26" s="887"/>
      <c r="F26" s="93"/>
    </row>
    <row r="27" spans="1:13" ht="30" customHeight="1" x14ac:dyDescent="0.25">
      <c r="A27" s="218" t="s">
        <v>24</v>
      </c>
      <c r="B27" s="853"/>
      <c r="C27" s="853"/>
      <c r="D27" s="853"/>
      <c r="E27" s="853"/>
    </row>
    <row r="28" spans="1:13" ht="30" customHeight="1" x14ac:dyDescent="0.25">
      <c r="A28" s="213" t="s">
        <v>418</v>
      </c>
      <c r="B28" s="853" t="s">
        <v>426</v>
      </c>
      <c r="C28" s="853"/>
      <c r="D28" s="853"/>
      <c r="E28" s="853"/>
    </row>
    <row r="30" spans="1:13" ht="23.25" customHeight="1" x14ac:dyDescent="0.25">
      <c r="B30" s="867" t="s">
        <v>530</v>
      </c>
      <c r="C30" s="867"/>
      <c r="D30" s="867"/>
      <c r="E30" s="143" t="s">
        <v>538</v>
      </c>
      <c r="F30" s="37"/>
      <c r="G30" s="37"/>
      <c r="H30" s="37"/>
      <c r="I30" s="37"/>
    </row>
    <row r="31" spans="1:13" ht="23.25" customHeight="1" x14ac:dyDescent="0.25">
      <c r="B31" s="864" t="s">
        <v>521</v>
      </c>
      <c r="C31" s="864"/>
      <c r="D31" s="864"/>
      <c r="E31" s="114"/>
      <c r="F31" s="37"/>
      <c r="G31" s="866" t="s">
        <v>538</v>
      </c>
      <c r="H31" s="866"/>
      <c r="I31" s="866"/>
    </row>
    <row r="32" spans="1:13" ht="23.25" customHeight="1" x14ac:dyDescent="0.25">
      <c r="B32" s="864" t="s">
        <v>522</v>
      </c>
      <c r="C32" s="864"/>
      <c r="D32" s="864"/>
      <c r="E32" s="114"/>
      <c r="F32" s="37"/>
      <c r="G32" s="252">
        <v>3</v>
      </c>
      <c r="H32" s="866" t="s">
        <v>535</v>
      </c>
      <c r="I32" s="866"/>
    </row>
    <row r="33" spans="2:9" ht="23.25" customHeight="1" x14ac:dyDescent="0.25">
      <c r="B33" s="864" t="s">
        <v>524</v>
      </c>
      <c r="C33" s="864"/>
      <c r="D33" s="864"/>
      <c r="E33" s="114"/>
      <c r="F33" s="37"/>
      <c r="G33" s="252">
        <v>2</v>
      </c>
      <c r="H33" s="866" t="s">
        <v>536</v>
      </c>
      <c r="I33" s="866"/>
    </row>
    <row r="34" spans="2:9" ht="23.25" customHeight="1" x14ac:dyDescent="0.25">
      <c r="B34" s="864" t="s">
        <v>523</v>
      </c>
      <c r="C34" s="864"/>
      <c r="D34" s="864"/>
      <c r="E34" s="114"/>
      <c r="F34" s="37"/>
      <c r="G34" s="252">
        <v>1</v>
      </c>
      <c r="H34" s="866" t="s">
        <v>537</v>
      </c>
      <c r="I34" s="866"/>
    </row>
    <row r="35" spans="2:9" ht="23.25" customHeight="1" x14ac:dyDescent="0.25">
      <c r="B35" s="864" t="s">
        <v>525</v>
      </c>
      <c r="C35" s="864"/>
      <c r="D35" s="864"/>
      <c r="E35" s="114"/>
      <c r="F35" s="37"/>
      <c r="G35" s="37"/>
      <c r="H35" s="37"/>
      <c r="I35" s="37"/>
    </row>
    <row r="36" spans="2:9" ht="23.25" customHeight="1" x14ac:dyDescent="0.25">
      <c r="B36" s="864" t="s">
        <v>526</v>
      </c>
      <c r="C36" s="864"/>
      <c r="D36" s="864"/>
      <c r="E36" s="114"/>
      <c r="F36" s="37"/>
      <c r="G36" s="37"/>
      <c r="H36" s="37"/>
      <c r="I36" s="37"/>
    </row>
    <row r="37" spans="2:9" ht="23.25" customHeight="1" x14ac:dyDescent="0.25">
      <c r="B37" s="864" t="s">
        <v>527</v>
      </c>
      <c r="C37" s="864"/>
      <c r="D37" s="864"/>
      <c r="E37" s="114"/>
      <c r="F37" s="37"/>
      <c r="G37" s="37"/>
      <c r="H37" s="37"/>
      <c r="I37" s="37"/>
    </row>
    <row r="38" spans="2:9" ht="23.25" customHeight="1" x14ac:dyDescent="0.25">
      <c r="B38" s="864" t="s">
        <v>528</v>
      </c>
      <c r="C38" s="864"/>
      <c r="D38" s="864"/>
      <c r="E38" s="114"/>
      <c r="F38" s="37"/>
      <c r="G38" s="37"/>
      <c r="H38" s="37"/>
      <c r="I38" s="37"/>
    </row>
    <row r="39" spans="2:9" ht="23.25" customHeight="1" x14ac:dyDescent="0.25">
      <c r="B39" s="864" t="s">
        <v>529</v>
      </c>
      <c r="C39" s="864"/>
      <c r="D39" s="864"/>
      <c r="E39" s="114"/>
      <c r="F39" s="37"/>
      <c r="G39" s="863" t="s">
        <v>541</v>
      </c>
      <c r="H39" s="863"/>
      <c r="I39" s="863"/>
    </row>
    <row r="40" spans="2:9" ht="23.25" customHeight="1" x14ac:dyDescent="0.25">
      <c r="B40" s="865" t="s">
        <v>395</v>
      </c>
      <c r="C40" s="865"/>
      <c r="D40" s="865"/>
      <c r="E40" s="258">
        <f>SUM(E31:E39)</f>
        <v>0</v>
      </c>
      <c r="F40" s="37"/>
      <c r="G40" s="254" t="s">
        <v>542</v>
      </c>
      <c r="H40" s="257" t="s">
        <v>543</v>
      </c>
      <c r="I40" s="254" t="s">
        <v>544</v>
      </c>
    </row>
    <row r="41" spans="2:9" ht="23.25" customHeight="1" x14ac:dyDescent="0.25">
      <c r="B41" s="37"/>
      <c r="C41" s="37"/>
      <c r="D41" s="37"/>
      <c r="E41" s="202" t="s">
        <v>576</v>
      </c>
      <c r="F41" s="37"/>
      <c r="G41" s="254" t="s">
        <v>545</v>
      </c>
      <c r="H41" s="254" t="s">
        <v>547</v>
      </c>
      <c r="I41" s="254" t="s">
        <v>546</v>
      </c>
    </row>
    <row r="42" spans="2:9" ht="23.25" customHeight="1" x14ac:dyDescent="0.25">
      <c r="B42" s="37"/>
      <c r="C42" s="37"/>
      <c r="D42" s="37"/>
      <c r="E42" s="37"/>
      <c r="F42" s="37"/>
      <c r="G42" s="37"/>
      <c r="H42" s="37"/>
      <c r="I42" s="37"/>
    </row>
    <row r="43" spans="2:9" ht="23.25" customHeight="1" x14ac:dyDescent="0.25">
      <c r="B43" s="860" t="s">
        <v>520</v>
      </c>
      <c r="C43" s="861"/>
      <c r="D43" s="862"/>
      <c r="E43" s="251">
        <v>1</v>
      </c>
      <c r="F43" s="37"/>
      <c r="G43" s="254">
        <v>1</v>
      </c>
      <c r="H43" s="254" t="s">
        <v>539</v>
      </c>
      <c r="I43" s="37"/>
    </row>
    <row r="44" spans="2:9" ht="23.25" customHeight="1" x14ac:dyDescent="0.25">
      <c r="B44" s="37"/>
      <c r="C44" s="37"/>
      <c r="D44" s="37"/>
      <c r="E44" s="37"/>
      <c r="F44" s="37"/>
      <c r="G44" s="254">
        <v>0</v>
      </c>
      <c r="H44" s="254" t="s">
        <v>540</v>
      </c>
      <c r="I44" s="37"/>
    </row>
  </sheetData>
  <mergeCells count="45">
    <mergeCell ref="G6:I6"/>
    <mergeCell ref="B22:E22"/>
    <mergeCell ref="B23:E23"/>
    <mergeCell ref="B24:E24"/>
    <mergeCell ref="B13:E13"/>
    <mergeCell ref="B21:E21"/>
    <mergeCell ref="B18:E18"/>
    <mergeCell ref="B20:E20"/>
    <mergeCell ref="B14:E14"/>
    <mergeCell ref="B15:E15"/>
    <mergeCell ref="B16:E16"/>
    <mergeCell ref="B17:E17"/>
    <mergeCell ref="B19:E19"/>
    <mergeCell ref="B12:E12"/>
    <mergeCell ref="A2:E2"/>
    <mergeCell ref="B7:E7"/>
    <mergeCell ref="B8:E8"/>
    <mergeCell ref="B9:E9"/>
    <mergeCell ref="B11:E11"/>
    <mergeCell ref="C5:D5"/>
    <mergeCell ref="B10:E10"/>
    <mergeCell ref="C4:D4"/>
    <mergeCell ref="G31:I31"/>
    <mergeCell ref="B32:D32"/>
    <mergeCell ref="H32:I32"/>
    <mergeCell ref="B25:E25"/>
    <mergeCell ref="B26:E26"/>
    <mergeCell ref="B28:E28"/>
    <mergeCell ref="B27:E27"/>
    <mergeCell ref="B43:D43"/>
    <mergeCell ref="G4:I4"/>
    <mergeCell ref="G5:I5"/>
    <mergeCell ref="G39:I39"/>
    <mergeCell ref="B36:D36"/>
    <mergeCell ref="B37:D37"/>
    <mergeCell ref="B38:D38"/>
    <mergeCell ref="B39:D39"/>
    <mergeCell ref="B40:D40"/>
    <mergeCell ref="B33:D33"/>
    <mergeCell ref="H33:I33"/>
    <mergeCell ref="B34:D34"/>
    <mergeCell ref="H34:I34"/>
    <mergeCell ref="B35:D35"/>
    <mergeCell ref="B30:D30"/>
    <mergeCell ref="B31:D31"/>
  </mergeCells>
  <conditionalFormatting sqref="E5">
    <cfRule type="containsText" dxfId="239" priority="1" operator="containsText" text="Terminé">
      <formula>NOT(ISERROR(SEARCH("Terminé",E5)))</formula>
    </cfRule>
    <cfRule type="containsText" dxfId="238" priority="2" operator="containsText" text="En cours">
      <formula>NOT(ISERROR(SEARCH("En cours",E5)))</formula>
    </cfRule>
    <cfRule type="containsText" dxfId="237"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pageSetup paperSize="9" scale="88"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44"/>
  <sheetViews>
    <sheetView topLeftCell="A7" zoomScale="115" zoomScaleNormal="115" zoomScaleSheetLayoutView="220" workbookViewId="0">
      <selection activeCell="G4" sqref="G4:I4"/>
    </sheetView>
  </sheetViews>
  <sheetFormatPr baseColWidth="10" defaultRowHeight="23.25" customHeight="1" x14ac:dyDescent="0.25"/>
  <cols>
    <col min="1" max="1" width="40.7109375" style="44" customWidth="1"/>
    <col min="2" max="2" width="16.7109375" style="44" customWidth="1"/>
    <col min="3" max="3" width="17.140625" style="44" customWidth="1"/>
    <col min="4" max="4" width="4.5703125" style="44" bestFit="1" customWidth="1"/>
    <col min="5" max="5" width="17.42578125" style="44" customWidth="1"/>
    <col min="6" max="6" width="1.140625" style="44" customWidth="1"/>
    <col min="7" max="7" width="11.42578125" style="44"/>
    <col min="8" max="8" width="11.42578125" style="44" customWidth="1"/>
    <col min="9" max="16384" width="11.42578125" style="44"/>
  </cols>
  <sheetData>
    <row r="1" spans="1:9" ht="23.25" customHeight="1" x14ac:dyDescent="0.25">
      <c r="A1" s="42" t="s">
        <v>87</v>
      </c>
      <c r="B1" s="42"/>
      <c r="C1" s="42"/>
      <c r="D1" s="42"/>
      <c r="E1" s="42"/>
    </row>
    <row r="2" spans="1:9" ht="23.25" customHeight="1" x14ac:dyDescent="0.25">
      <c r="A2" s="888" t="s">
        <v>913</v>
      </c>
      <c r="B2" s="888"/>
      <c r="C2" s="888"/>
      <c r="D2" s="888"/>
      <c r="E2" s="888"/>
    </row>
    <row r="3" spans="1:9" ht="23.25" customHeight="1" thickBot="1" x14ac:dyDescent="0.3">
      <c r="A3" s="45"/>
      <c r="B3" s="45"/>
      <c r="C3" s="45"/>
      <c r="D3" s="45"/>
      <c r="E3" s="45"/>
    </row>
    <row r="4" spans="1:9" ht="23.25" customHeight="1" thickBot="1" x14ac:dyDescent="0.3">
      <c r="A4" s="43"/>
      <c r="B4" s="233" t="s">
        <v>469</v>
      </c>
      <c r="C4" s="851" t="s">
        <v>61</v>
      </c>
      <c r="D4" s="852"/>
      <c r="E4" s="174" t="s">
        <v>316</v>
      </c>
      <c r="G4" s="848" t="s">
        <v>914</v>
      </c>
      <c r="H4" s="848"/>
      <c r="I4" s="848"/>
    </row>
    <row r="5" spans="1:9" ht="23.25" customHeight="1" x14ac:dyDescent="0.25">
      <c r="A5" s="381" t="s">
        <v>651</v>
      </c>
      <c r="B5" s="382" t="s">
        <v>659</v>
      </c>
      <c r="C5" s="820" t="s">
        <v>18</v>
      </c>
      <c r="D5" s="820"/>
      <c r="E5" s="232" t="s">
        <v>20</v>
      </c>
      <c r="G5" s="848" t="s">
        <v>915</v>
      </c>
      <c r="H5" s="848"/>
      <c r="I5" s="848"/>
    </row>
    <row r="6" spans="1:9" ht="23.25" customHeight="1" thickBot="1" x14ac:dyDescent="0.3">
      <c r="A6" s="379" t="s">
        <v>660</v>
      </c>
      <c r="B6" s="380" t="s">
        <v>658</v>
      </c>
      <c r="C6" s="46"/>
      <c r="D6" s="46"/>
      <c r="E6" s="46"/>
      <c r="G6" s="850" t="s">
        <v>916</v>
      </c>
      <c r="H6" s="850"/>
      <c r="I6" s="850"/>
    </row>
    <row r="7" spans="1:9" ht="24" customHeight="1" thickBot="1" x14ac:dyDescent="0.3">
      <c r="A7" s="207" t="s">
        <v>1</v>
      </c>
      <c r="B7" s="857" t="s">
        <v>312</v>
      </c>
      <c r="C7" s="857"/>
      <c r="D7" s="857"/>
      <c r="E7" s="857"/>
    </row>
    <row r="8" spans="1:9" ht="24" customHeight="1" thickBot="1" x14ac:dyDescent="0.3">
      <c r="A8" s="207" t="s">
        <v>0</v>
      </c>
      <c r="B8" s="857" t="s">
        <v>313</v>
      </c>
      <c r="C8" s="857"/>
      <c r="D8" s="857"/>
      <c r="E8" s="857"/>
    </row>
    <row r="9" spans="1:9" ht="63" customHeight="1" x14ac:dyDescent="0.25">
      <c r="A9" s="214" t="s">
        <v>2</v>
      </c>
      <c r="B9" s="854" t="s">
        <v>314</v>
      </c>
      <c r="C9" s="854"/>
      <c r="D9" s="854"/>
      <c r="E9" s="854"/>
    </row>
    <row r="10" spans="1:9" ht="54" customHeight="1" x14ac:dyDescent="0.25">
      <c r="A10" s="214" t="s">
        <v>31</v>
      </c>
      <c r="B10" s="890" t="s">
        <v>740</v>
      </c>
      <c r="C10" s="890"/>
      <c r="D10" s="890"/>
      <c r="E10" s="890"/>
    </row>
    <row r="11" spans="1:9" ht="30" customHeight="1" x14ac:dyDescent="0.25">
      <c r="A11" s="215" t="s">
        <v>16</v>
      </c>
      <c r="B11" s="874" t="s">
        <v>86</v>
      </c>
      <c r="C11" s="874"/>
      <c r="D11" s="874"/>
      <c r="E11" s="874"/>
    </row>
    <row r="12" spans="1:9" ht="30" customHeight="1" x14ac:dyDescent="0.25">
      <c r="A12" s="215" t="s">
        <v>3</v>
      </c>
      <c r="B12" s="874"/>
      <c r="C12" s="874"/>
      <c r="D12" s="874"/>
      <c r="E12" s="874"/>
    </row>
    <row r="13" spans="1:9" ht="30" customHeight="1" x14ac:dyDescent="0.25">
      <c r="A13" s="215" t="s">
        <v>17</v>
      </c>
      <c r="B13" s="874"/>
      <c r="C13" s="874"/>
      <c r="D13" s="874"/>
      <c r="E13" s="874"/>
    </row>
    <row r="14" spans="1:9" ht="30" customHeight="1" x14ac:dyDescent="0.25">
      <c r="A14" s="215" t="s">
        <v>4</v>
      </c>
      <c r="B14" s="874">
        <v>2016</v>
      </c>
      <c r="C14" s="874"/>
      <c r="D14" s="874"/>
      <c r="E14" s="874"/>
    </row>
    <row r="15" spans="1:9" ht="30" customHeight="1" x14ac:dyDescent="0.25">
      <c r="A15" s="215" t="s">
        <v>5</v>
      </c>
      <c r="B15" s="874">
        <v>2020</v>
      </c>
      <c r="C15" s="874"/>
      <c r="D15" s="874"/>
      <c r="E15" s="874"/>
    </row>
    <row r="16" spans="1:9" ht="30" customHeight="1" x14ac:dyDescent="0.25">
      <c r="A16" s="215" t="s">
        <v>6</v>
      </c>
      <c r="B16" s="845">
        <v>0</v>
      </c>
      <c r="C16" s="845"/>
      <c r="D16" s="845"/>
      <c r="E16" s="845"/>
    </row>
    <row r="17" spans="1:9" ht="30" customHeight="1" x14ac:dyDescent="0.25">
      <c r="A17" s="215" t="s">
        <v>7</v>
      </c>
      <c r="B17" s="845">
        <v>0</v>
      </c>
      <c r="C17" s="845"/>
      <c r="D17" s="845"/>
      <c r="E17" s="845"/>
    </row>
    <row r="18" spans="1:9" ht="30" customHeight="1" x14ac:dyDescent="0.25">
      <c r="A18" s="210" t="s">
        <v>468</v>
      </c>
      <c r="B18" s="868"/>
      <c r="C18" s="869"/>
      <c r="D18" s="869"/>
      <c r="E18" s="869"/>
      <c r="G18" s="47"/>
    </row>
    <row r="19" spans="1:9" ht="30" customHeight="1" x14ac:dyDescent="0.25">
      <c r="A19" s="238" t="s">
        <v>467</v>
      </c>
      <c r="B19" s="870"/>
      <c r="C19" s="871"/>
      <c r="D19" s="871"/>
      <c r="E19" s="871"/>
      <c r="G19" s="47"/>
    </row>
    <row r="20" spans="1:9" ht="30" customHeight="1" x14ac:dyDescent="0.25">
      <c r="A20" s="215" t="s">
        <v>8</v>
      </c>
      <c r="B20" s="845">
        <v>1</v>
      </c>
      <c r="C20" s="845"/>
      <c r="D20" s="845"/>
      <c r="E20" s="845"/>
      <c r="F20" s="88"/>
    </row>
    <row r="21" spans="1:9" ht="30" customHeight="1" x14ac:dyDescent="0.25">
      <c r="A21" s="215" t="s">
        <v>9</v>
      </c>
      <c r="B21" s="845"/>
      <c r="C21" s="845"/>
      <c r="D21" s="845"/>
      <c r="E21" s="845"/>
      <c r="F21" s="85"/>
    </row>
    <row r="22" spans="1:9" ht="30" customHeight="1" x14ac:dyDescent="0.25">
      <c r="A22" s="215" t="s">
        <v>465</v>
      </c>
      <c r="B22" s="846">
        <f>B16/(B20+B21)</f>
        <v>0</v>
      </c>
      <c r="C22" s="846"/>
      <c r="D22" s="846"/>
      <c r="E22" s="846"/>
      <c r="F22" s="89"/>
    </row>
    <row r="23" spans="1:9" ht="30" customHeight="1" x14ac:dyDescent="0.25">
      <c r="A23" s="215" t="s">
        <v>466</v>
      </c>
      <c r="B23" s="847">
        <f>(B16-B17)/(B20+B21)</f>
        <v>0</v>
      </c>
      <c r="C23" s="847"/>
      <c r="D23" s="847"/>
      <c r="E23" s="847"/>
      <c r="F23" s="89"/>
    </row>
    <row r="24" spans="1:9" ht="30" customHeight="1" x14ac:dyDescent="0.25">
      <c r="A24" s="216" t="s">
        <v>476</v>
      </c>
      <c r="B24" s="849">
        <f>B18*G24/1000</f>
        <v>0</v>
      </c>
      <c r="C24" s="849"/>
      <c r="D24" s="849"/>
      <c r="E24" s="849"/>
      <c r="F24" s="90"/>
      <c r="G24" s="44">
        <v>0.26100000000000001</v>
      </c>
    </row>
    <row r="25" spans="1:9" ht="30" customHeight="1" x14ac:dyDescent="0.25">
      <c r="A25" s="217" t="s">
        <v>463</v>
      </c>
      <c r="B25" s="840">
        <f>B24/'Objectifs CO2'!C15</f>
        <v>0</v>
      </c>
      <c r="C25" s="840"/>
      <c r="D25" s="840"/>
      <c r="E25" s="840"/>
      <c r="F25" s="91"/>
    </row>
    <row r="26" spans="1:9" ht="30" customHeight="1" x14ac:dyDescent="0.25">
      <c r="A26" s="218" t="s">
        <v>464</v>
      </c>
      <c r="B26" s="840">
        <f>B24/'Objectifs CO2'!C8</f>
        <v>0</v>
      </c>
      <c r="C26" s="840"/>
      <c r="D26" s="840"/>
      <c r="E26" s="840"/>
      <c r="F26" s="92"/>
    </row>
    <row r="27" spans="1:9" ht="30" customHeight="1" x14ac:dyDescent="0.25">
      <c r="A27" s="218" t="s">
        <v>24</v>
      </c>
      <c r="B27" s="853"/>
      <c r="C27" s="853"/>
      <c r="D27" s="853"/>
      <c r="E27" s="853"/>
      <c r="F27" s="93"/>
    </row>
    <row r="28" spans="1:9" ht="30" customHeight="1" x14ac:dyDescent="0.25">
      <c r="A28" s="213" t="s">
        <v>418</v>
      </c>
      <c r="B28" s="853" t="s">
        <v>426</v>
      </c>
      <c r="C28" s="853"/>
      <c r="D28" s="853"/>
      <c r="E28" s="853"/>
    </row>
    <row r="30" spans="1:9" ht="23.25" customHeight="1" x14ac:dyDescent="0.25">
      <c r="B30" s="867" t="s">
        <v>530</v>
      </c>
      <c r="C30" s="867"/>
      <c r="D30" s="867"/>
      <c r="E30" s="143" t="s">
        <v>538</v>
      </c>
      <c r="F30" s="37"/>
      <c r="G30" s="37"/>
      <c r="H30" s="37"/>
      <c r="I30" s="37"/>
    </row>
    <row r="31" spans="1:9" ht="23.25" customHeight="1" x14ac:dyDescent="0.25">
      <c r="B31" s="864" t="s">
        <v>521</v>
      </c>
      <c r="C31" s="864"/>
      <c r="D31" s="864"/>
      <c r="E31" s="114"/>
      <c r="F31" s="37"/>
      <c r="G31" s="866" t="s">
        <v>538</v>
      </c>
      <c r="H31" s="866"/>
      <c r="I31" s="866"/>
    </row>
    <row r="32" spans="1:9" ht="23.25" customHeight="1" x14ac:dyDescent="0.25">
      <c r="B32" s="864" t="s">
        <v>522</v>
      </c>
      <c r="C32" s="864"/>
      <c r="D32" s="864"/>
      <c r="E32" s="114"/>
      <c r="F32" s="37"/>
      <c r="G32" s="252">
        <v>3</v>
      </c>
      <c r="H32" s="866" t="s">
        <v>535</v>
      </c>
      <c r="I32" s="866"/>
    </row>
    <row r="33" spans="2:9" ht="23.25" customHeight="1" x14ac:dyDescent="0.25">
      <c r="B33" s="864" t="s">
        <v>524</v>
      </c>
      <c r="C33" s="864"/>
      <c r="D33" s="864"/>
      <c r="E33" s="114"/>
      <c r="F33" s="37"/>
      <c r="G33" s="252">
        <v>2</v>
      </c>
      <c r="H33" s="866" t="s">
        <v>536</v>
      </c>
      <c r="I33" s="866"/>
    </row>
    <row r="34" spans="2:9" ht="23.25" customHeight="1" x14ac:dyDescent="0.25">
      <c r="B34" s="864" t="s">
        <v>523</v>
      </c>
      <c r="C34" s="864"/>
      <c r="D34" s="864"/>
      <c r="E34" s="114"/>
      <c r="F34" s="37"/>
      <c r="G34" s="252">
        <v>1</v>
      </c>
      <c r="H34" s="866" t="s">
        <v>537</v>
      </c>
      <c r="I34" s="866"/>
    </row>
    <row r="35" spans="2:9" ht="23.25" customHeight="1" x14ac:dyDescent="0.25">
      <c r="B35" s="864" t="s">
        <v>525</v>
      </c>
      <c r="C35" s="864"/>
      <c r="D35" s="864"/>
      <c r="E35" s="114"/>
      <c r="F35" s="37"/>
      <c r="G35" s="37"/>
      <c r="H35" s="37"/>
      <c r="I35" s="37"/>
    </row>
    <row r="36" spans="2:9" ht="23.25" customHeight="1" x14ac:dyDescent="0.25">
      <c r="B36" s="864" t="s">
        <v>526</v>
      </c>
      <c r="C36" s="864"/>
      <c r="D36" s="864"/>
      <c r="E36" s="114"/>
      <c r="F36" s="37"/>
      <c r="G36" s="37"/>
      <c r="H36" s="37"/>
      <c r="I36" s="37"/>
    </row>
    <row r="37" spans="2:9" ht="23.25" customHeight="1" x14ac:dyDescent="0.25">
      <c r="B37" s="864" t="s">
        <v>527</v>
      </c>
      <c r="C37" s="864"/>
      <c r="D37" s="864"/>
      <c r="E37" s="114"/>
      <c r="F37" s="37"/>
      <c r="G37" s="37"/>
      <c r="H37" s="37"/>
      <c r="I37" s="37"/>
    </row>
    <row r="38" spans="2:9" ht="23.25" customHeight="1" x14ac:dyDescent="0.25">
      <c r="B38" s="864" t="s">
        <v>528</v>
      </c>
      <c r="C38" s="864"/>
      <c r="D38" s="864"/>
      <c r="E38" s="114"/>
      <c r="F38" s="37"/>
      <c r="G38" s="37"/>
      <c r="H38" s="37"/>
      <c r="I38" s="37"/>
    </row>
    <row r="39" spans="2:9" ht="23.25" customHeight="1" x14ac:dyDescent="0.25">
      <c r="B39" s="864" t="s">
        <v>529</v>
      </c>
      <c r="C39" s="864"/>
      <c r="D39" s="864"/>
      <c r="E39" s="114"/>
      <c r="F39" s="37"/>
      <c r="G39" s="863" t="s">
        <v>541</v>
      </c>
      <c r="H39" s="863"/>
      <c r="I39" s="863"/>
    </row>
    <row r="40" spans="2:9" ht="23.25" customHeight="1" x14ac:dyDescent="0.25">
      <c r="B40" s="865" t="s">
        <v>395</v>
      </c>
      <c r="C40" s="865"/>
      <c r="D40" s="865"/>
      <c r="E40" s="258">
        <f>SUM(E31:E39)</f>
        <v>0</v>
      </c>
      <c r="F40" s="37"/>
      <c r="G40" s="254" t="s">
        <v>542</v>
      </c>
      <c r="H40" s="257" t="s">
        <v>543</v>
      </c>
      <c r="I40" s="254" t="s">
        <v>544</v>
      </c>
    </row>
    <row r="41" spans="2:9" ht="23.25" customHeight="1" x14ac:dyDescent="0.25">
      <c r="B41" s="37"/>
      <c r="C41" s="37"/>
      <c r="D41" s="37"/>
      <c r="E41" s="202" t="s">
        <v>576</v>
      </c>
      <c r="F41" s="37"/>
      <c r="G41" s="254" t="s">
        <v>545</v>
      </c>
      <c r="H41" s="254" t="s">
        <v>547</v>
      </c>
      <c r="I41" s="254" t="s">
        <v>546</v>
      </c>
    </row>
    <row r="42" spans="2:9" ht="23.25" customHeight="1" x14ac:dyDescent="0.25">
      <c r="B42" s="37"/>
      <c r="C42" s="37"/>
      <c r="D42" s="37"/>
      <c r="E42" s="37"/>
      <c r="F42" s="37"/>
      <c r="G42" s="37"/>
      <c r="H42" s="37"/>
      <c r="I42" s="37"/>
    </row>
    <row r="43" spans="2:9" ht="23.25" customHeight="1" x14ac:dyDescent="0.25">
      <c r="B43" s="860" t="s">
        <v>520</v>
      </c>
      <c r="C43" s="861"/>
      <c r="D43" s="862"/>
      <c r="E43" s="251">
        <v>1</v>
      </c>
      <c r="F43" s="37"/>
      <c r="G43" s="254">
        <v>1</v>
      </c>
      <c r="H43" s="254" t="s">
        <v>539</v>
      </c>
      <c r="I43" s="37"/>
    </row>
    <row r="44" spans="2:9" ht="23.25" customHeight="1" x14ac:dyDescent="0.25">
      <c r="B44" s="37"/>
      <c r="C44" s="37"/>
      <c r="D44" s="37"/>
      <c r="E44" s="37"/>
      <c r="F44" s="37"/>
      <c r="G44" s="254">
        <v>0</v>
      </c>
      <c r="H44" s="254" t="s">
        <v>540</v>
      </c>
      <c r="I44" s="37"/>
    </row>
  </sheetData>
  <mergeCells count="45">
    <mergeCell ref="G6:I6"/>
    <mergeCell ref="B10:E10"/>
    <mergeCell ref="B24:E24"/>
    <mergeCell ref="B25:E25"/>
    <mergeCell ref="B26:E26"/>
    <mergeCell ref="B22:E22"/>
    <mergeCell ref="B23:E23"/>
    <mergeCell ref="B11:E11"/>
    <mergeCell ref="B12:E12"/>
    <mergeCell ref="B13:E13"/>
    <mergeCell ref="B14:E14"/>
    <mergeCell ref="B15:E15"/>
    <mergeCell ref="B16:E16"/>
    <mergeCell ref="A2:E2"/>
    <mergeCell ref="B7:E7"/>
    <mergeCell ref="B8:E8"/>
    <mergeCell ref="B9:E9"/>
    <mergeCell ref="C5:D5"/>
    <mergeCell ref="C4:D4"/>
    <mergeCell ref="G31:I31"/>
    <mergeCell ref="B32:D32"/>
    <mergeCell ref="H32:I32"/>
    <mergeCell ref="B17:E17"/>
    <mergeCell ref="B18:E18"/>
    <mergeCell ref="B20:E20"/>
    <mergeCell ref="B28:E28"/>
    <mergeCell ref="B21:E21"/>
    <mergeCell ref="B19:E19"/>
    <mergeCell ref="B27:E27"/>
    <mergeCell ref="B43:D43"/>
    <mergeCell ref="G4:I4"/>
    <mergeCell ref="G5:I5"/>
    <mergeCell ref="G39:I39"/>
    <mergeCell ref="B36:D36"/>
    <mergeCell ref="B37:D37"/>
    <mergeCell ref="B38:D38"/>
    <mergeCell ref="B39:D39"/>
    <mergeCell ref="B40:D40"/>
    <mergeCell ref="B33:D33"/>
    <mergeCell ref="H33:I33"/>
    <mergeCell ref="B34:D34"/>
    <mergeCell ref="H34:I34"/>
    <mergeCell ref="B35:D35"/>
    <mergeCell ref="B30:D30"/>
    <mergeCell ref="B31:D31"/>
  </mergeCells>
  <conditionalFormatting sqref="E5">
    <cfRule type="containsText" dxfId="236" priority="1" operator="containsText" text="Terminé">
      <formula>NOT(ISERROR(SEARCH("Terminé",E5)))</formula>
    </cfRule>
    <cfRule type="containsText" dxfId="235" priority="2" operator="containsText" text="En cours">
      <formula>NOT(ISERROR(SEARCH("En cours",E5)))</formula>
    </cfRule>
    <cfRule type="containsText" dxfId="234"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pageSetup paperSize="9" scale="8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44"/>
  <sheetViews>
    <sheetView topLeftCell="A16" zoomScaleNormal="100" zoomScaleSheetLayoutView="220" workbookViewId="0">
      <selection activeCell="G4" sqref="G4:I4"/>
    </sheetView>
  </sheetViews>
  <sheetFormatPr baseColWidth="10" defaultRowHeight="23.25" customHeight="1" x14ac:dyDescent="0.25"/>
  <cols>
    <col min="1" max="1" width="40.7109375" style="44" customWidth="1"/>
    <col min="2" max="2" width="16.7109375" style="44" customWidth="1"/>
    <col min="3" max="3" width="17.140625" style="44" customWidth="1"/>
    <col min="4" max="4" width="4.5703125" style="44" bestFit="1" customWidth="1"/>
    <col min="5" max="5" width="17.42578125" style="44" customWidth="1"/>
    <col min="6" max="6" width="1.140625" style="44" customWidth="1"/>
    <col min="7" max="9" width="11.42578125" style="44"/>
    <col min="10" max="13" width="0" style="44" hidden="1" customWidth="1"/>
    <col min="14" max="16384" width="11.42578125" style="44"/>
  </cols>
  <sheetData>
    <row r="1" spans="1:13" ht="21" x14ac:dyDescent="0.25">
      <c r="A1" s="42" t="s">
        <v>87</v>
      </c>
      <c r="B1" s="42"/>
      <c r="C1" s="42"/>
      <c r="D1" s="42"/>
      <c r="E1" s="42"/>
    </row>
    <row r="2" spans="1:13" ht="26.25" x14ac:dyDescent="0.25">
      <c r="A2" s="888" t="s">
        <v>913</v>
      </c>
      <c r="B2" s="888"/>
      <c r="C2" s="888"/>
      <c r="D2" s="888"/>
      <c r="E2" s="888"/>
    </row>
    <row r="3" spans="1:13" ht="27" thickBot="1" x14ac:dyDescent="0.3">
      <c r="A3" s="45"/>
      <c r="B3" s="45"/>
      <c r="C3" s="45"/>
      <c r="D3" s="45"/>
      <c r="E3" s="45"/>
    </row>
    <row r="4" spans="1:13" ht="15.75" thickBot="1" x14ac:dyDescent="0.3">
      <c r="A4" s="43"/>
      <c r="B4" s="233" t="s">
        <v>469</v>
      </c>
      <c r="C4" s="851" t="s">
        <v>40</v>
      </c>
      <c r="D4" s="852"/>
      <c r="E4" s="174" t="s">
        <v>315</v>
      </c>
      <c r="G4" s="848" t="s">
        <v>914</v>
      </c>
      <c r="H4" s="848"/>
      <c r="I4" s="848"/>
    </row>
    <row r="5" spans="1:13" ht="18.75" customHeight="1" x14ac:dyDescent="0.25">
      <c r="A5" s="381" t="s">
        <v>651</v>
      </c>
      <c r="B5" s="382" t="s">
        <v>50</v>
      </c>
      <c r="C5" s="820" t="s">
        <v>18</v>
      </c>
      <c r="D5" s="820"/>
      <c r="E5" s="232" t="s">
        <v>20</v>
      </c>
      <c r="G5" s="848" t="s">
        <v>915</v>
      </c>
      <c r="H5" s="848"/>
      <c r="I5" s="848"/>
    </row>
    <row r="6" spans="1:13" ht="16.5" thickBot="1" x14ac:dyDescent="0.3">
      <c r="A6" s="379" t="s">
        <v>660</v>
      </c>
      <c r="B6" s="380" t="s">
        <v>658</v>
      </c>
      <c r="C6" s="46"/>
      <c r="D6" s="46"/>
      <c r="E6" s="46"/>
      <c r="G6" s="850" t="s">
        <v>916</v>
      </c>
      <c r="H6" s="850"/>
      <c r="I6" s="850"/>
      <c r="J6" s="44">
        <v>1.06</v>
      </c>
      <c r="K6" s="44">
        <v>2.1800000000000002</v>
      </c>
      <c r="L6" s="44">
        <v>1</v>
      </c>
      <c r="M6" s="44">
        <f>L6*K6*J6</f>
        <v>2.3108000000000004</v>
      </c>
    </row>
    <row r="7" spans="1:13" ht="24" customHeight="1" thickBot="1" x14ac:dyDescent="0.3">
      <c r="A7" s="207" t="s">
        <v>1</v>
      </c>
      <c r="B7" s="820" t="s">
        <v>513</v>
      </c>
      <c r="C7" s="820"/>
      <c r="D7" s="820"/>
      <c r="E7" s="820"/>
      <c r="J7" s="44">
        <v>1.0649999999999999</v>
      </c>
      <c r="K7" s="44">
        <v>2.19</v>
      </c>
      <c r="L7" s="44">
        <v>1</v>
      </c>
      <c r="M7" s="44">
        <f t="shared" ref="M7:M24" si="0">L7*K7*J7</f>
        <v>2.3323499999999999</v>
      </c>
    </row>
    <row r="8" spans="1:13" ht="24" customHeight="1" thickBot="1" x14ac:dyDescent="0.3">
      <c r="A8" s="207" t="s">
        <v>0</v>
      </c>
      <c r="B8" s="820" t="s">
        <v>514</v>
      </c>
      <c r="C8" s="820"/>
      <c r="D8" s="820"/>
      <c r="E8" s="820"/>
      <c r="J8" s="44">
        <v>1.06</v>
      </c>
      <c r="K8" s="44">
        <v>3.0150000000000001</v>
      </c>
      <c r="L8" s="44">
        <v>1</v>
      </c>
      <c r="M8" s="44">
        <f t="shared" si="0"/>
        <v>3.1959000000000004</v>
      </c>
    </row>
    <row r="9" spans="1:13" ht="54" customHeight="1" x14ac:dyDescent="0.25">
      <c r="A9" s="214" t="s">
        <v>2</v>
      </c>
      <c r="B9" s="890" t="s">
        <v>515</v>
      </c>
      <c r="C9" s="890"/>
      <c r="D9" s="890"/>
      <c r="E9" s="890"/>
      <c r="J9" s="44">
        <v>1.06</v>
      </c>
      <c r="K9" s="44">
        <v>0.81499999999999995</v>
      </c>
      <c r="L9" s="44">
        <v>1</v>
      </c>
      <c r="M9" s="44">
        <f t="shared" si="0"/>
        <v>0.8639</v>
      </c>
    </row>
    <row r="10" spans="1:13" ht="54" customHeight="1" x14ac:dyDescent="0.25">
      <c r="A10" s="214" t="s">
        <v>31</v>
      </c>
      <c r="B10" s="890" t="s">
        <v>741</v>
      </c>
      <c r="C10" s="890"/>
      <c r="D10" s="890"/>
      <c r="E10" s="890"/>
      <c r="J10" s="44">
        <v>1.06</v>
      </c>
      <c r="K10" s="44">
        <v>2.1800000000000002</v>
      </c>
      <c r="L10" s="44">
        <v>1</v>
      </c>
      <c r="M10" s="44">
        <f t="shared" si="0"/>
        <v>2.3108000000000004</v>
      </c>
    </row>
    <row r="11" spans="1:13" ht="30" customHeight="1" x14ac:dyDescent="0.25">
      <c r="A11" s="215" t="s">
        <v>16</v>
      </c>
      <c r="B11" s="874" t="s">
        <v>86</v>
      </c>
      <c r="C11" s="874"/>
      <c r="D11" s="874"/>
      <c r="E11" s="874"/>
      <c r="J11" s="44">
        <v>1.27</v>
      </c>
      <c r="K11" s="44">
        <v>2.0099999999999998</v>
      </c>
      <c r="L11" s="44">
        <v>6</v>
      </c>
      <c r="M11" s="44">
        <f t="shared" si="0"/>
        <v>15.316199999999998</v>
      </c>
    </row>
    <row r="12" spans="1:13" ht="30" customHeight="1" x14ac:dyDescent="0.25">
      <c r="A12" s="215" t="s">
        <v>3</v>
      </c>
      <c r="B12" s="874"/>
      <c r="C12" s="874"/>
      <c r="D12" s="874"/>
      <c r="E12" s="874"/>
      <c r="J12" s="44">
        <v>1.27</v>
      </c>
      <c r="K12" s="44">
        <v>2.0099999999999998</v>
      </c>
      <c r="L12" s="44">
        <v>1</v>
      </c>
      <c r="M12" s="44">
        <f t="shared" si="0"/>
        <v>2.5526999999999997</v>
      </c>
    </row>
    <row r="13" spans="1:13" ht="30" customHeight="1" x14ac:dyDescent="0.25">
      <c r="A13" s="215" t="s">
        <v>17</v>
      </c>
      <c r="B13" s="874"/>
      <c r="C13" s="874"/>
      <c r="D13" s="874"/>
      <c r="E13" s="874"/>
      <c r="J13" s="44">
        <v>1.28</v>
      </c>
      <c r="K13" s="44">
        <v>2.0099999999999998</v>
      </c>
      <c r="L13" s="44">
        <v>1</v>
      </c>
      <c r="M13" s="44">
        <f t="shared" si="0"/>
        <v>2.5728</v>
      </c>
    </row>
    <row r="14" spans="1:13" ht="30" customHeight="1" x14ac:dyDescent="0.25">
      <c r="A14" s="215" t="s">
        <v>4</v>
      </c>
      <c r="B14" s="874">
        <v>2015</v>
      </c>
      <c r="C14" s="874"/>
      <c r="D14" s="874"/>
      <c r="E14" s="874"/>
      <c r="J14" s="44">
        <v>1.28</v>
      </c>
      <c r="K14" s="44">
        <v>2.0099999999999998</v>
      </c>
      <c r="L14" s="44">
        <v>1</v>
      </c>
      <c r="M14" s="44">
        <f t="shared" si="0"/>
        <v>2.5728</v>
      </c>
    </row>
    <row r="15" spans="1:13" ht="30" customHeight="1" x14ac:dyDescent="0.25">
      <c r="A15" s="215" t="s">
        <v>5</v>
      </c>
      <c r="B15" s="874">
        <v>2020</v>
      </c>
      <c r="C15" s="874"/>
      <c r="D15" s="874"/>
      <c r="E15" s="874"/>
      <c r="J15" s="44">
        <v>1.27</v>
      </c>
      <c r="K15" s="44">
        <v>2.0099999999999998</v>
      </c>
      <c r="L15" s="44">
        <v>1</v>
      </c>
      <c r="M15" s="44">
        <f t="shared" si="0"/>
        <v>2.5526999999999997</v>
      </c>
    </row>
    <row r="16" spans="1:13" ht="30" customHeight="1" x14ac:dyDescent="0.25">
      <c r="A16" s="215" t="s">
        <v>6</v>
      </c>
      <c r="B16" s="845">
        <v>6000</v>
      </c>
      <c r="C16" s="845"/>
      <c r="D16" s="845"/>
      <c r="E16" s="845"/>
      <c r="J16" s="44">
        <v>1.2749999999999999</v>
      </c>
      <c r="K16" s="44">
        <v>2.0099999999999998</v>
      </c>
      <c r="L16" s="44">
        <v>3</v>
      </c>
      <c r="M16" s="44">
        <f t="shared" si="0"/>
        <v>7.6882499999999983</v>
      </c>
    </row>
    <row r="17" spans="1:14" ht="30" customHeight="1" x14ac:dyDescent="0.25">
      <c r="A17" s="215" t="s">
        <v>7</v>
      </c>
      <c r="B17" s="845">
        <v>0</v>
      </c>
      <c r="C17" s="845"/>
      <c r="D17" s="845"/>
      <c r="E17" s="845"/>
      <c r="J17" s="44">
        <v>1.0900000000000001</v>
      </c>
      <c r="K17" s="44">
        <v>2.165</v>
      </c>
      <c r="L17" s="44">
        <v>1</v>
      </c>
      <c r="M17" s="44">
        <f t="shared" si="0"/>
        <v>2.3598500000000002</v>
      </c>
    </row>
    <row r="18" spans="1:14" ht="30" customHeight="1" x14ac:dyDescent="0.25">
      <c r="A18" s="210" t="s">
        <v>468</v>
      </c>
      <c r="B18" s="868"/>
      <c r="C18" s="869"/>
      <c r="D18" s="869"/>
      <c r="E18" s="869"/>
      <c r="G18" s="47"/>
      <c r="H18" s="47"/>
      <c r="J18" s="44">
        <v>2.1749999999999998</v>
      </c>
      <c r="K18" s="44">
        <v>0.66</v>
      </c>
      <c r="L18" s="44">
        <v>2</v>
      </c>
      <c r="M18" s="44">
        <f t="shared" si="0"/>
        <v>2.871</v>
      </c>
    </row>
    <row r="19" spans="1:14" ht="30" customHeight="1" x14ac:dyDescent="0.25">
      <c r="A19" s="238" t="s">
        <v>467</v>
      </c>
      <c r="B19" s="870"/>
      <c r="C19" s="871"/>
      <c r="D19" s="871"/>
      <c r="E19" s="871"/>
      <c r="G19" s="47"/>
      <c r="H19" s="47"/>
    </row>
    <row r="20" spans="1:14" ht="30" customHeight="1" x14ac:dyDescent="0.25">
      <c r="A20" s="215" t="s">
        <v>8</v>
      </c>
      <c r="B20" s="845">
        <v>1</v>
      </c>
      <c r="C20" s="845"/>
      <c r="D20" s="845"/>
      <c r="E20" s="845"/>
      <c r="G20" s="44">
        <v>0.86</v>
      </c>
      <c r="H20" s="44">
        <v>7692</v>
      </c>
      <c r="J20" s="44">
        <v>0.56499999999999995</v>
      </c>
      <c r="K20" s="44">
        <v>2.0249999999999999</v>
      </c>
      <c r="L20" s="44">
        <v>4</v>
      </c>
      <c r="M20" s="44">
        <f t="shared" si="0"/>
        <v>4.5764999999999993</v>
      </c>
    </row>
    <row r="21" spans="1:14" ht="30" customHeight="1" x14ac:dyDescent="0.25">
      <c r="A21" s="215" t="s">
        <v>9</v>
      </c>
      <c r="B21" s="845"/>
      <c r="C21" s="845"/>
      <c r="D21" s="845"/>
      <c r="E21" s="845"/>
      <c r="H21" s="44">
        <f>H20/100</f>
        <v>76.92</v>
      </c>
      <c r="I21" s="44">
        <v>25</v>
      </c>
      <c r="J21" s="44">
        <v>1.1000000000000001</v>
      </c>
      <c r="K21" s="44">
        <v>2.9849999999999999</v>
      </c>
      <c r="L21" s="44">
        <v>1</v>
      </c>
      <c r="M21" s="44">
        <f t="shared" si="0"/>
        <v>3.2835000000000001</v>
      </c>
      <c r="N21" s="44">
        <f>I21*H21</f>
        <v>1923</v>
      </c>
    </row>
    <row r="22" spans="1:14" ht="30" customHeight="1" x14ac:dyDescent="0.25">
      <c r="A22" s="215" t="s">
        <v>465</v>
      </c>
      <c r="B22" s="846">
        <f>B16/(B20+B21)</f>
        <v>6000</v>
      </c>
      <c r="C22" s="846"/>
      <c r="D22" s="846"/>
      <c r="E22" s="846"/>
      <c r="J22" s="44">
        <v>1.08</v>
      </c>
      <c r="K22" s="44">
        <v>1.9850000000000001</v>
      </c>
      <c r="L22" s="44">
        <v>1</v>
      </c>
      <c r="M22" s="44">
        <f t="shared" si="0"/>
        <v>2.1438000000000001</v>
      </c>
    </row>
    <row r="23" spans="1:14" ht="30" customHeight="1" x14ac:dyDescent="0.25">
      <c r="A23" s="215" t="s">
        <v>466</v>
      </c>
      <c r="B23" s="847">
        <f>(B16-B17)/(B20+B21)</f>
        <v>6000</v>
      </c>
      <c r="C23" s="847"/>
      <c r="D23" s="847"/>
      <c r="E23" s="847"/>
      <c r="J23" s="44">
        <v>1.05</v>
      </c>
      <c r="K23" s="44">
        <v>1.99</v>
      </c>
      <c r="L23" s="44">
        <v>5</v>
      </c>
      <c r="M23" s="44">
        <f t="shared" si="0"/>
        <v>10.4475</v>
      </c>
    </row>
    <row r="24" spans="1:14" ht="30" customHeight="1" x14ac:dyDescent="0.25">
      <c r="A24" s="216" t="s">
        <v>476</v>
      </c>
      <c r="B24" s="849">
        <f>B18*G24/1000</f>
        <v>0</v>
      </c>
      <c r="C24" s="849"/>
      <c r="D24" s="849"/>
      <c r="E24" s="849"/>
      <c r="G24" s="44">
        <v>0.26100000000000001</v>
      </c>
      <c r="J24" s="44">
        <v>1.2350000000000001</v>
      </c>
      <c r="K24" s="44">
        <v>2.9849999999999999</v>
      </c>
      <c r="L24" s="44">
        <v>2</v>
      </c>
      <c r="M24" s="44">
        <f t="shared" si="0"/>
        <v>7.3729500000000003</v>
      </c>
    </row>
    <row r="25" spans="1:14" ht="30" customHeight="1" x14ac:dyDescent="0.25">
      <c r="A25" s="217" t="s">
        <v>463</v>
      </c>
      <c r="B25" s="840">
        <f>B24/'Objectifs CO2'!C15</f>
        <v>0</v>
      </c>
      <c r="C25" s="840"/>
      <c r="D25" s="840"/>
      <c r="E25" s="840"/>
      <c r="M25" s="44">
        <f>SUM(M6:M24)</f>
        <v>77.324300000000008</v>
      </c>
    </row>
    <row r="26" spans="1:14" ht="30" customHeight="1" x14ac:dyDescent="0.25">
      <c r="A26" s="218" t="s">
        <v>464</v>
      </c>
      <c r="B26" s="840">
        <f>B24/'Objectifs CO2'!C8</f>
        <v>0</v>
      </c>
      <c r="C26" s="840"/>
      <c r="D26" s="840"/>
      <c r="E26" s="840"/>
    </row>
    <row r="27" spans="1:14" ht="30" customHeight="1" x14ac:dyDescent="0.25">
      <c r="A27" s="218" t="s">
        <v>24</v>
      </c>
      <c r="B27" s="853"/>
      <c r="C27" s="853"/>
      <c r="D27" s="853"/>
      <c r="E27" s="853"/>
    </row>
    <row r="28" spans="1:14" ht="30" customHeight="1" x14ac:dyDescent="0.25">
      <c r="A28" s="213" t="s">
        <v>418</v>
      </c>
      <c r="B28" s="853"/>
      <c r="C28" s="853"/>
      <c r="D28" s="853"/>
      <c r="E28" s="853"/>
    </row>
    <row r="30" spans="1:14" ht="23.25" customHeight="1" x14ac:dyDescent="0.25">
      <c r="B30" s="867" t="s">
        <v>530</v>
      </c>
      <c r="C30" s="867"/>
      <c r="D30" s="867"/>
      <c r="E30" s="143" t="s">
        <v>538</v>
      </c>
      <c r="F30" s="37"/>
      <c r="G30" s="37"/>
      <c r="H30" s="37"/>
      <c r="I30" s="37"/>
    </row>
    <row r="31" spans="1:14" ht="23.25" customHeight="1" x14ac:dyDescent="0.25">
      <c r="B31" s="864" t="s">
        <v>521</v>
      </c>
      <c r="C31" s="864"/>
      <c r="D31" s="864"/>
      <c r="E31" s="114"/>
      <c r="F31" s="37"/>
      <c r="G31" s="866" t="s">
        <v>538</v>
      </c>
      <c r="H31" s="866"/>
      <c r="I31" s="866"/>
    </row>
    <row r="32" spans="1:14" ht="23.25" customHeight="1" x14ac:dyDescent="0.25">
      <c r="B32" s="864" t="s">
        <v>522</v>
      </c>
      <c r="C32" s="864"/>
      <c r="D32" s="864"/>
      <c r="E32" s="114"/>
      <c r="F32" s="37"/>
      <c r="G32" s="252">
        <v>3</v>
      </c>
      <c r="H32" s="866" t="s">
        <v>535</v>
      </c>
      <c r="I32" s="866"/>
    </row>
    <row r="33" spans="2:9" ht="23.25" customHeight="1" x14ac:dyDescent="0.25">
      <c r="B33" s="864" t="s">
        <v>524</v>
      </c>
      <c r="C33" s="864"/>
      <c r="D33" s="864"/>
      <c r="E33" s="114"/>
      <c r="F33" s="37"/>
      <c r="G33" s="252">
        <v>2</v>
      </c>
      <c r="H33" s="866" t="s">
        <v>536</v>
      </c>
      <c r="I33" s="866"/>
    </row>
    <row r="34" spans="2:9" ht="23.25" customHeight="1" x14ac:dyDescent="0.25">
      <c r="B34" s="864" t="s">
        <v>523</v>
      </c>
      <c r="C34" s="864"/>
      <c r="D34" s="864"/>
      <c r="E34" s="114"/>
      <c r="F34" s="37"/>
      <c r="G34" s="252">
        <v>1</v>
      </c>
      <c r="H34" s="866" t="s">
        <v>537</v>
      </c>
      <c r="I34" s="866"/>
    </row>
    <row r="35" spans="2:9" ht="23.25" customHeight="1" x14ac:dyDescent="0.25">
      <c r="B35" s="864" t="s">
        <v>525</v>
      </c>
      <c r="C35" s="864"/>
      <c r="D35" s="864"/>
      <c r="E35" s="114"/>
      <c r="F35" s="37"/>
      <c r="G35" s="37"/>
      <c r="H35" s="37"/>
      <c r="I35" s="37"/>
    </row>
    <row r="36" spans="2:9" ht="23.25" customHeight="1" x14ac:dyDescent="0.25">
      <c r="B36" s="864" t="s">
        <v>526</v>
      </c>
      <c r="C36" s="864"/>
      <c r="D36" s="864"/>
      <c r="E36" s="114"/>
      <c r="F36" s="37"/>
      <c r="G36" s="37"/>
      <c r="H36" s="37"/>
      <c r="I36" s="37"/>
    </row>
    <row r="37" spans="2:9" ht="23.25" customHeight="1" x14ac:dyDescent="0.25">
      <c r="B37" s="864" t="s">
        <v>527</v>
      </c>
      <c r="C37" s="864"/>
      <c r="D37" s="864"/>
      <c r="E37" s="114"/>
      <c r="F37" s="37"/>
      <c r="G37" s="37"/>
      <c r="H37" s="37"/>
      <c r="I37" s="37"/>
    </row>
    <row r="38" spans="2:9" ht="23.25" customHeight="1" x14ac:dyDescent="0.25">
      <c r="B38" s="864" t="s">
        <v>528</v>
      </c>
      <c r="C38" s="864"/>
      <c r="D38" s="864"/>
      <c r="E38" s="114"/>
      <c r="F38" s="37"/>
      <c r="G38" s="37"/>
      <c r="H38" s="37"/>
      <c r="I38" s="37"/>
    </row>
    <row r="39" spans="2:9" ht="23.25" customHeight="1" x14ac:dyDescent="0.25">
      <c r="B39" s="864" t="s">
        <v>529</v>
      </c>
      <c r="C39" s="864"/>
      <c r="D39" s="864"/>
      <c r="E39" s="114"/>
      <c r="F39" s="37"/>
      <c r="G39" s="863" t="s">
        <v>541</v>
      </c>
      <c r="H39" s="863"/>
      <c r="I39" s="863"/>
    </row>
    <row r="40" spans="2:9" ht="23.25" customHeight="1" x14ac:dyDescent="0.25">
      <c r="B40" s="865" t="s">
        <v>395</v>
      </c>
      <c r="C40" s="865"/>
      <c r="D40" s="865"/>
      <c r="E40" s="258">
        <f>SUM(E31:E39)</f>
        <v>0</v>
      </c>
      <c r="F40" s="37"/>
      <c r="G40" s="254" t="s">
        <v>542</v>
      </c>
      <c r="H40" s="257" t="s">
        <v>543</v>
      </c>
      <c r="I40" s="254" t="s">
        <v>544</v>
      </c>
    </row>
    <row r="41" spans="2:9" ht="23.25" customHeight="1" x14ac:dyDescent="0.25">
      <c r="B41" s="37"/>
      <c r="C41" s="37"/>
      <c r="D41" s="37"/>
      <c r="E41" s="202" t="s">
        <v>576</v>
      </c>
      <c r="F41" s="37"/>
      <c r="G41" s="254" t="s">
        <v>545</v>
      </c>
      <c r="H41" s="254" t="s">
        <v>547</v>
      </c>
      <c r="I41" s="254" t="s">
        <v>546</v>
      </c>
    </row>
    <row r="42" spans="2:9" ht="23.25" customHeight="1" x14ac:dyDescent="0.25">
      <c r="B42" s="37"/>
      <c r="C42" s="37"/>
      <c r="D42" s="37"/>
      <c r="E42" s="37"/>
      <c r="F42" s="37"/>
      <c r="G42" s="37"/>
      <c r="H42" s="37"/>
      <c r="I42" s="37"/>
    </row>
    <row r="43" spans="2:9" ht="23.25" customHeight="1" x14ac:dyDescent="0.25">
      <c r="B43" s="860" t="s">
        <v>520</v>
      </c>
      <c r="C43" s="861"/>
      <c r="D43" s="862"/>
      <c r="E43" s="251">
        <v>1</v>
      </c>
      <c r="F43" s="37"/>
      <c r="G43" s="254">
        <v>1</v>
      </c>
      <c r="H43" s="254" t="s">
        <v>539</v>
      </c>
      <c r="I43" s="37"/>
    </row>
    <row r="44" spans="2:9" ht="23.25" customHeight="1" x14ac:dyDescent="0.25">
      <c r="B44" s="37"/>
      <c r="C44" s="37"/>
      <c r="D44" s="37"/>
      <c r="E44" s="37"/>
      <c r="F44" s="37"/>
      <c r="G44" s="254">
        <v>0</v>
      </c>
      <c r="H44" s="254" t="s">
        <v>540</v>
      </c>
      <c r="I44" s="37"/>
    </row>
  </sheetData>
  <mergeCells count="45">
    <mergeCell ref="G6:I6"/>
    <mergeCell ref="B16:E16"/>
    <mergeCell ref="A2:E2"/>
    <mergeCell ref="B7:E7"/>
    <mergeCell ref="B8:E8"/>
    <mergeCell ref="B9:E9"/>
    <mergeCell ref="B10:E10"/>
    <mergeCell ref="C5:D5"/>
    <mergeCell ref="B11:E11"/>
    <mergeCell ref="B12:E12"/>
    <mergeCell ref="B13:E13"/>
    <mergeCell ref="B14:E14"/>
    <mergeCell ref="B15:E15"/>
    <mergeCell ref="C4:D4"/>
    <mergeCell ref="G31:I31"/>
    <mergeCell ref="B32:D32"/>
    <mergeCell ref="H32:I32"/>
    <mergeCell ref="B27:E27"/>
    <mergeCell ref="B17:E17"/>
    <mergeCell ref="B18:E18"/>
    <mergeCell ref="B20:E20"/>
    <mergeCell ref="B21:E21"/>
    <mergeCell ref="B22:E22"/>
    <mergeCell ref="B23:E23"/>
    <mergeCell ref="B19:E19"/>
    <mergeCell ref="B28:E28"/>
    <mergeCell ref="B24:E24"/>
    <mergeCell ref="B25:E25"/>
    <mergeCell ref="B26:E26"/>
    <mergeCell ref="B43:D43"/>
    <mergeCell ref="G4:I4"/>
    <mergeCell ref="G5:I5"/>
    <mergeCell ref="G39:I39"/>
    <mergeCell ref="B36:D36"/>
    <mergeCell ref="B37:D37"/>
    <mergeCell ref="B38:D38"/>
    <mergeCell ref="B39:D39"/>
    <mergeCell ref="B40:D40"/>
    <mergeCell ref="B33:D33"/>
    <mergeCell ref="H33:I33"/>
    <mergeCell ref="B34:D34"/>
    <mergeCell ref="H34:I34"/>
    <mergeCell ref="B35:D35"/>
    <mergeCell ref="B30:D30"/>
    <mergeCell ref="B31:D31"/>
  </mergeCells>
  <conditionalFormatting sqref="E5">
    <cfRule type="containsText" dxfId="233" priority="1" operator="containsText" text="Terminé">
      <formula>NOT(ISERROR(SEARCH("Terminé",E5)))</formula>
    </cfRule>
    <cfRule type="containsText" dxfId="232" priority="2" operator="containsText" text="En cours">
      <formula>NOT(ISERROR(SEARCH("En cours",E5)))</formula>
    </cfRule>
    <cfRule type="containsText" dxfId="231"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pageSetup paperSize="9" scale="9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44"/>
  <sheetViews>
    <sheetView zoomScaleNormal="100" zoomScaleSheetLayoutView="100" workbookViewId="0">
      <selection activeCell="G4" sqref="G4:I4"/>
    </sheetView>
  </sheetViews>
  <sheetFormatPr baseColWidth="10" defaultRowHeight="23.25" customHeight="1"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9" width="11.42578125" style="37"/>
    <col min="10" max="13" width="0" style="37" hidden="1" customWidth="1"/>
    <col min="14" max="16384" width="11.42578125" style="37"/>
  </cols>
  <sheetData>
    <row r="1" spans="1:13" ht="23.25" customHeight="1" x14ac:dyDescent="0.35">
      <c r="A1" s="11" t="s">
        <v>87</v>
      </c>
      <c r="B1" s="11"/>
      <c r="C1" s="11"/>
      <c r="D1" s="11"/>
      <c r="E1" s="11"/>
    </row>
    <row r="2" spans="1:13" ht="23.25" customHeight="1" x14ac:dyDescent="0.4">
      <c r="A2" s="856" t="s">
        <v>913</v>
      </c>
      <c r="B2" s="856"/>
      <c r="C2" s="856"/>
      <c r="D2" s="856"/>
      <c r="E2" s="856"/>
    </row>
    <row r="3" spans="1:13" ht="23.25" customHeight="1" thickBot="1" x14ac:dyDescent="0.45">
      <c r="A3" s="339"/>
      <c r="B3" s="339"/>
      <c r="C3" s="339"/>
      <c r="D3" s="339"/>
      <c r="E3" s="339"/>
    </row>
    <row r="4" spans="1:13" ht="23.25" customHeight="1" thickBot="1" x14ac:dyDescent="0.3">
      <c r="A4" s="12"/>
      <c r="B4" s="233" t="s">
        <v>469</v>
      </c>
      <c r="C4" s="851" t="s">
        <v>611</v>
      </c>
      <c r="D4" s="852"/>
      <c r="E4" s="174" t="s">
        <v>408</v>
      </c>
      <c r="G4" s="848" t="s">
        <v>914</v>
      </c>
      <c r="H4" s="848"/>
      <c r="I4" s="848"/>
    </row>
    <row r="5" spans="1:13" ht="23.25" customHeight="1" x14ac:dyDescent="0.25">
      <c r="A5" s="381" t="s">
        <v>651</v>
      </c>
      <c r="B5" s="382" t="s">
        <v>50</v>
      </c>
      <c r="C5" s="820" t="s">
        <v>18</v>
      </c>
      <c r="D5" s="820"/>
      <c r="E5" s="232" t="s">
        <v>20</v>
      </c>
      <c r="G5" s="848" t="s">
        <v>915</v>
      </c>
      <c r="H5" s="848"/>
      <c r="I5" s="848"/>
    </row>
    <row r="6" spans="1:13" ht="23.25" customHeight="1" thickBot="1" x14ac:dyDescent="0.3">
      <c r="A6" s="379" t="s">
        <v>660</v>
      </c>
      <c r="B6" s="380" t="s">
        <v>658</v>
      </c>
      <c r="C6" s="16"/>
      <c r="D6" s="16"/>
      <c r="E6" s="16"/>
      <c r="G6" s="37" t="s">
        <v>916</v>
      </c>
      <c r="J6" s="37">
        <v>1.06</v>
      </c>
      <c r="K6" s="37">
        <v>2.1800000000000002</v>
      </c>
      <c r="L6" s="37">
        <v>1</v>
      </c>
      <c r="M6" s="37">
        <f>L6*K6*J6</f>
        <v>2.3108000000000004</v>
      </c>
    </row>
    <row r="7" spans="1:13" ht="24" customHeight="1" thickBot="1" x14ac:dyDescent="0.3">
      <c r="A7" s="207" t="s">
        <v>1</v>
      </c>
      <c r="B7" s="851" t="s">
        <v>43</v>
      </c>
      <c r="C7" s="891"/>
      <c r="D7" s="891"/>
      <c r="E7" s="852"/>
      <c r="J7" s="37">
        <v>1.0649999999999999</v>
      </c>
      <c r="K7" s="37">
        <v>2.19</v>
      </c>
      <c r="L7" s="37">
        <v>1</v>
      </c>
      <c r="M7" s="37">
        <f>L7*K7*J7</f>
        <v>2.3323499999999999</v>
      </c>
    </row>
    <row r="8" spans="1:13" ht="24" customHeight="1" thickBot="1" x14ac:dyDescent="0.3">
      <c r="A8" s="207" t="s">
        <v>0</v>
      </c>
      <c r="B8" s="857" t="s">
        <v>678</v>
      </c>
      <c r="C8" s="857"/>
      <c r="D8" s="857"/>
      <c r="E8" s="857"/>
    </row>
    <row r="9" spans="1:13" ht="222" customHeight="1" x14ac:dyDescent="0.25">
      <c r="A9" s="214" t="s">
        <v>2</v>
      </c>
      <c r="B9" s="854" t="s">
        <v>758</v>
      </c>
      <c r="C9" s="855"/>
      <c r="D9" s="855"/>
      <c r="E9" s="855"/>
    </row>
    <row r="10" spans="1:13" ht="54" customHeight="1" x14ac:dyDescent="0.25">
      <c r="A10" s="214" t="s">
        <v>31</v>
      </c>
      <c r="B10" s="854"/>
      <c r="C10" s="855"/>
      <c r="D10" s="855"/>
      <c r="E10" s="855"/>
    </row>
    <row r="11" spans="1:13" ht="30" customHeight="1" x14ac:dyDescent="0.25">
      <c r="A11" s="215" t="s">
        <v>16</v>
      </c>
      <c r="B11" s="858" t="s">
        <v>86</v>
      </c>
      <c r="C11" s="858"/>
      <c r="D11" s="858"/>
      <c r="E11" s="858"/>
    </row>
    <row r="12" spans="1:13" ht="30" customHeight="1" x14ac:dyDescent="0.25">
      <c r="A12" s="215" t="s">
        <v>3</v>
      </c>
      <c r="B12" s="858"/>
      <c r="C12" s="858"/>
      <c r="D12" s="858"/>
      <c r="E12" s="858"/>
    </row>
    <row r="13" spans="1:13" ht="30" customHeight="1" x14ac:dyDescent="0.25">
      <c r="A13" s="215" t="s">
        <v>17</v>
      </c>
      <c r="B13" s="858"/>
      <c r="C13" s="858"/>
      <c r="D13" s="858"/>
      <c r="E13" s="858"/>
    </row>
    <row r="14" spans="1:13" ht="30" customHeight="1" x14ac:dyDescent="0.25">
      <c r="A14" s="215" t="s">
        <v>4</v>
      </c>
      <c r="B14" s="858">
        <v>2016</v>
      </c>
      <c r="C14" s="858"/>
      <c r="D14" s="858"/>
      <c r="E14" s="858"/>
    </row>
    <row r="15" spans="1:13" ht="30" customHeight="1" x14ac:dyDescent="0.25">
      <c r="A15" s="215" t="s">
        <v>5</v>
      </c>
      <c r="B15" s="858">
        <v>2020</v>
      </c>
      <c r="C15" s="858"/>
      <c r="D15" s="858"/>
      <c r="E15" s="858"/>
    </row>
    <row r="16" spans="1:13" ht="30" customHeight="1" x14ac:dyDescent="0.25">
      <c r="A16" s="215" t="s">
        <v>6</v>
      </c>
      <c r="B16" s="859">
        <f>(60000)*5</f>
        <v>300000</v>
      </c>
      <c r="C16" s="859"/>
      <c r="D16" s="859"/>
      <c r="E16" s="859"/>
    </row>
    <row r="17" spans="1:9" ht="30" customHeight="1" x14ac:dyDescent="0.25">
      <c r="A17" s="215" t="s">
        <v>7</v>
      </c>
      <c r="B17" s="859">
        <v>0</v>
      </c>
      <c r="C17" s="859"/>
      <c r="D17" s="859"/>
      <c r="E17" s="859"/>
    </row>
    <row r="18" spans="1:9" ht="30" customHeight="1" x14ac:dyDescent="0.25">
      <c r="A18" s="210" t="s">
        <v>468</v>
      </c>
      <c r="B18" s="841">
        <v>0</v>
      </c>
      <c r="C18" s="842"/>
      <c r="D18" s="842"/>
      <c r="E18" s="842"/>
      <c r="G18" s="2"/>
      <c r="H18" s="2"/>
    </row>
    <row r="19" spans="1:9" ht="30" customHeight="1" x14ac:dyDescent="0.25">
      <c r="A19" s="238" t="s">
        <v>467</v>
      </c>
      <c r="B19" s="843"/>
      <c r="C19" s="844"/>
      <c r="D19" s="844"/>
      <c r="E19" s="844"/>
      <c r="G19" s="2"/>
      <c r="H19" s="2"/>
    </row>
    <row r="20" spans="1:9" ht="30" customHeight="1" x14ac:dyDescent="0.25">
      <c r="A20" s="215" t="s">
        <v>8</v>
      </c>
      <c r="B20" s="845">
        <v>1</v>
      </c>
      <c r="C20" s="845"/>
      <c r="D20" s="845"/>
      <c r="E20" s="845"/>
    </row>
    <row r="21" spans="1:9" ht="30" customHeight="1" x14ac:dyDescent="0.25">
      <c r="A21" s="215" t="s">
        <v>9</v>
      </c>
      <c r="B21" s="845"/>
      <c r="C21" s="845"/>
      <c r="D21" s="845"/>
      <c r="E21" s="845"/>
    </row>
    <row r="22" spans="1:9" ht="30" customHeight="1" x14ac:dyDescent="0.25">
      <c r="A22" s="215" t="s">
        <v>465</v>
      </c>
      <c r="B22" s="846">
        <f>B16/(B20+B21)</f>
        <v>300000</v>
      </c>
      <c r="C22" s="846"/>
      <c r="D22" s="846"/>
      <c r="E22" s="846"/>
    </row>
    <row r="23" spans="1:9" ht="30" customHeight="1" x14ac:dyDescent="0.25">
      <c r="A23" s="215" t="s">
        <v>466</v>
      </c>
      <c r="B23" s="847">
        <f>(B16-B17)/(B20+B21)</f>
        <v>300000</v>
      </c>
      <c r="C23" s="847"/>
      <c r="D23" s="847"/>
      <c r="E23" s="847"/>
    </row>
    <row r="24" spans="1:9" ht="30" customHeight="1" x14ac:dyDescent="0.25">
      <c r="A24" s="216" t="s">
        <v>476</v>
      </c>
      <c r="B24" s="849">
        <f>B18*F24/1000</f>
        <v>0</v>
      </c>
      <c r="C24" s="849"/>
      <c r="D24" s="849"/>
      <c r="E24" s="849"/>
    </row>
    <row r="25" spans="1:9" ht="30" customHeight="1" x14ac:dyDescent="0.25">
      <c r="A25" s="217" t="s">
        <v>463</v>
      </c>
      <c r="B25" s="840">
        <f>B24/'Objectifs CO2'!C15</f>
        <v>0</v>
      </c>
      <c r="C25" s="840"/>
      <c r="D25" s="840"/>
      <c r="E25" s="840"/>
    </row>
    <row r="26" spans="1:9" ht="30" customHeight="1" x14ac:dyDescent="0.25">
      <c r="A26" s="218" t="s">
        <v>464</v>
      </c>
      <c r="B26" s="840">
        <f>B24/'Objectifs CO2'!C8</f>
        <v>0</v>
      </c>
      <c r="C26" s="840"/>
      <c r="D26" s="840"/>
      <c r="E26" s="840"/>
    </row>
    <row r="27" spans="1:9" ht="30" customHeight="1" x14ac:dyDescent="0.25">
      <c r="A27" s="218" t="s">
        <v>24</v>
      </c>
      <c r="B27" s="853"/>
      <c r="C27" s="853"/>
      <c r="D27" s="853"/>
      <c r="E27" s="853"/>
    </row>
    <row r="28" spans="1:9" ht="30" customHeight="1" x14ac:dyDescent="0.25">
      <c r="A28" s="213" t="s">
        <v>418</v>
      </c>
      <c r="B28" s="853"/>
      <c r="C28" s="853"/>
      <c r="D28" s="853"/>
      <c r="E28" s="853"/>
    </row>
    <row r="30" spans="1:9" ht="23.25" customHeight="1" x14ac:dyDescent="0.25">
      <c r="B30" s="867" t="s">
        <v>530</v>
      </c>
      <c r="C30" s="867"/>
      <c r="D30" s="867"/>
      <c r="E30" s="143" t="s">
        <v>538</v>
      </c>
    </row>
    <row r="31" spans="1:9" ht="23.25" customHeight="1" x14ac:dyDescent="0.25">
      <c r="B31" s="864" t="s">
        <v>521</v>
      </c>
      <c r="C31" s="864"/>
      <c r="D31" s="864"/>
      <c r="E31" s="114"/>
      <c r="G31" s="866" t="s">
        <v>538</v>
      </c>
      <c r="H31" s="866"/>
      <c r="I31" s="866"/>
    </row>
    <row r="32" spans="1:9" ht="23.25" customHeight="1" x14ac:dyDescent="0.25">
      <c r="B32" s="864" t="s">
        <v>522</v>
      </c>
      <c r="C32" s="864"/>
      <c r="D32" s="864"/>
      <c r="E32" s="114"/>
      <c r="G32" s="252">
        <v>3</v>
      </c>
      <c r="H32" s="866" t="s">
        <v>535</v>
      </c>
      <c r="I32" s="866"/>
    </row>
    <row r="33" spans="2:9" ht="23.25" customHeight="1" x14ac:dyDescent="0.25">
      <c r="B33" s="864" t="s">
        <v>524</v>
      </c>
      <c r="C33" s="864"/>
      <c r="D33" s="864"/>
      <c r="E33" s="114"/>
      <c r="G33" s="252">
        <v>2</v>
      </c>
      <c r="H33" s="866" t="s">
        <v>536</v>
      </c>
      <c r="I33" s="866"/>
    </row>
    <row r="34" spans="2:9" ht="23.25" customHeight="1" x14ac:dyDescent="0.25">
      <c r="B34" s="864" t="s">
        <v>523</v>
      </c>
      <c r="C34" s="864"/>
      <c r="D34" s="864"/>
      <c r="E34" s="114"/>
      <c r="G34" s="252">
        <v>1</v>
      </c>
      <c r="H34" s="866" t="s">
        <v>537</v>
      </c>
      <c r="I34" s="866"/>
    </row>
    <row r="35" spans="2:9" ht="23.25" customHeight="1" x14ac:dyDescent="0.25">
      <c r="B35" s="864" t="s">
        <v>525</v>
      </c>
      <c r="C35" s="864"/>
      <c r="D35" s="864"/>
      <c r="E35" s="114"/>
    </row>
    <row r="36" spans="2:9" ht="23.25" customHeight="1" x14ac:dyDescent="0.25">
      <c r="B36" s="864" t="s">
        <v>526</v>
      </c>
      <c r="C36" s="864"/>
      <c r="D36" s="864"/>
      <c r="E36" s="114"/>
    </row>
    <row r="37" spans="2:9" ht="23.25" customHeight="1" x14ac:dyDescent="0.25">
      <c r="B37" s="864" t="s">
        <v>527</v>
      </c>
      <c r="C37" s="864"/>
      <c r="D37" s="864"/>
      <c r="E37" s="114"/>
    </row>
    <row r="38" spans="2:9" ht="23.25" customHeight="1" x14ac:dyDescent="0.25">
      <c r="B38" s="864" t="s">
        <v>528</v>
      </c>
      <c r="C38" s="864"/>
      <c r="D38" s="864"/>
      <c r="E38" s="114"/>
    </row>
    <row r="39" spans="2:9" ht="23.25" customHeight="1" x14ac:dyDescent="0.25">
      <c r="B39" s="864" t="s">
        <v>529</v>
      </c>
      <c r="C39" s="864"/>
      <c r="D39" s="864"/>
      <c r="E39" s="114"/>
      <c r="G39" s="863" t="s">
        <v>541</v>
      </c>
      <c r="H39" s="863"/>
      <c r="I39" s="863"/>
    </row>
    <row r="40" spans="2:9" ht="23.25" customHeight="1" x14ac:dyDescent="0.25">
      <c r="B40" s="865" t="s">
        <v>395</v>
      </c>
      <c r="C40" s="865"/>
      <c r="D40" s="865"/>
      <c r="E40" s="258">
        <f>SUM(E31:E39)</f>
        <v>0</v>
      </c>
      <c r="G40" s="254" t="s">
        <v>542</v>
      </c>
      <c r="H40" s="257" t="s">
        <v>543</v>
      </c>
      <c r="I40" s="254" t="s">
        <v>544</v>
      </c>
    </row>
    <row r="41" spans="2:9" ht="23.25" customHeight="1" x14ac:dyDescent="0.25">
      <c r="E41" s="202" t="s">
        <v>663</v>
      </c>
      <c r="G41" s="254" t="s">
        <v>545</v>
      </c>
      <c r="H41" s="254" t="s">
        <v>547</v>
      </c>
      <c r="I41" s="254" t="s">
        <v>546</v>
      </c>
    </row>
    <row r="43" spans="2:9" ht="23.25" customHeight="1" x14ac:dyDescent="0.25">
      <c r="B43" s="860" t="s">
        <v>520</v>
      </c>
      <c r="C43" s="861"/>
      <c r="D43" s="862"/>
      <c r="E43" s="251">
        <v>1</v>
      </c>
      <c r="G43" s="254">
        <v>1</v>
      </c>
      <c r="H43" s="254" t="s">
        <v>539</v>
      </c>
    </row>
    <row r="44" spans="2:9" ht="23.25" customHeight="1" x14ac:dyDescent="0.25">
      <c r="G44" s="254">
        <v>0</v>
      </c>
      <c r="H44" s="254" t="s">
        <v>540</v>
      </c>
    </row>
  </sheetData>
  <mergeCells count="44">
    <mergeCell ref="B10:E10"/>
    <mergeCell ref="B24:E24"/>
    <mergeCell ref="B25:E25"/>
    <mergeCell ref="B26:E26"/>
    <mergeCell ref="B22:E22"/>
    <mergeCell ref="B23:E23"/>
    <mergeCell ref="B11:E11"/>
    <mergeCell ref="B12:E12"/>
    <mergeCell ref="B13:E13"/>
    <mergeCell ref="B14:E14"/>
    <mergeCell ref="B15:E15"/>
    <mergeCell ref="B16:E16"/>
    <mergeCell ref="A2:E2"/>
    <mergeCell ref="B7:E7"/>
    <mergeCell ref="B8:E8"/>
    <mergeCell ref="B9:E9"/>
    <mergeCell ref="C5:D5"/>
    <mergeCell ref="C4:D4"/>
    <mergeCell ref="G31:I31"/>
    <mergeCell ref="B32:D32"/>
    <mergeCell ref="H32:I32"/>
    <mergeCell ref="B17:E17"/>
    <mergeCell ref="B18:E18"/>
    <mergeCell ref="B20:E20"/>
    <mergeCell ref="B28:E28"/>
    <mergeCell ref="B21:E21"/>
    <mergeCell ref="B19:E19"/>
    <mergeCell ref="B27:E27"/>
    <mergeCell ref="B43:D43"/>
    <mergeCell ref="G4:I4"/>
    <mergeCell ref="G5:I5"/>
    <mergeCell ref="G39:I39"/>
    <mergeCell ref="B36:D36"/>
    <mergeCell ref="B37:D37"/>
    <mergeCell ref="B38:D38"/>
    <mergeCell ref="B39:D39"/>
    <mergeCell ref="B40:D40"/>
    <mergeCell ref="B33:D33"/>
    <mergeCell ref="H33:I33"/>
    <mergeCell ref="B34:D34"/>
    <mergeCell ref="H34:I34"/>
    <mergeCell ref="B35:D35"/>
    <mergeCell ref="B30:D30"/>
    <mergeCell ref="B31:D31"/>
  </mergeCells>
  <conditionalFormatting sqref="E5">
    <cfRule type="containsText" dxfId="230" priority="1" operator="containsText" text="Terminé">
      <formula>NOT(ISERROR(SEARCH("Terminé",E5)))</formula>
    </cfRule>
    <cfRule type="containsText" dxfId="229" priority="2" operator="containsText" text="En cours">
      <formula>NOT(ISERROR(SEARCH("En cours",E5)))</formula>
    </cfRule>
    <cfRule type="containsText" dxfId="228"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ESUME CRITERES"/>
  </hyperlinks>
  <pageMargins left="0.7" right="0.7" top="0.75" bottom="0.75" header="0.3" footer="0.3"/>
  <pageSetup paperSize="9" scale="77"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4"/>
  <sheetViews>
    <sheetView topLeftCell="A7" zoomScaleNormal="100" zoomScaleSheetLayoutView="100"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9" width="11.42578125" style="37"/>
    <col min="10" max="13" width="0" style="37" hidden="1" customWidth="1"/>
    <col min="14" max="16384" width="11.42578125" style="37"/>
  </cols>
  <sheetData>
    <row r="1" spans="1:13" ht="23.25" customHeight="1" x14ac:dyDescent="0.35">
      <c r="A1" s="11" t="s">
        <v>87</v>
      </c>
      <c r="B1" s="11"/>
      <c r="C1" s="11"/>
      <c r="D1" s="11"/>
      <c r="E1" s="11"/>
    </row>
    <row r="2" spans="1:13" ht="23.25" customHeight="1" x14ac:dyDescent="0.4">
      <c r="A2" s="856" t="s">
        <v>913</v>
      </c>
      <c r="B2" s="856"/>
      <c r="C2" s="856"/>
      <c r="D2" s="856"/>
      <c r="E2" s="856"/>
    </row>
    <row r="3" spans="1:13" ht="23.25" customHeight="1" thickBot="1" x14ac:dyDescent="0.45">
      <c r="A3" s="358"/>
      <c r="B3" s="358"/>
      <c r="C3" s="358"/>
      <c r="D3" s="358"/>
      <c r="E3" s="358"/>
    </row>
    <row r="4" spans="1:13" ht="23.25" customHeight="1" thickBot="1" x14ac:dyDescent="0.3">
      <c r="A4" s="12"/>
      <c r="B4" s="233" t="s">
        <v>469</v>
      </c>
      <c r="C4" s="851" t="s">
        <v>611</v>
      </c>
      <c r="D4" s="852"/>
      <c r="E4" s="174" t="s">
        <v>679</v>
      </c>
      <c r="G4" s="848" t="s">
        <v>914</v>
      </c>
      <c r="H4" s="848"/>
      <c r="I4" s="848"/>
    </row>
    <row r="5" spans="1:13" ht="23.25" customHeight="1" x14ac:dyDescent="0.25">
      <c r="A5" s="381" t="s">
        <v>651</v>
      </c>
      <c r="B5" s="382" t="s">
        <v>659</v>
      </c>
      <c r="C5" s="820" t="s">
        <v>18</v>
      </c>
      <c r="D5" s="820"/>
      <c r="E5" s="232" t="s">
        <v>19</v>
      </c>
      <c r="G5" s="848" t="s">
        <v>915</v>
      </c>
      <c r="H5" s="848"/>
      <c r="I5" s="848"/>
    </row>
    <row r="6" spans="1:13" ht="23.25" customHeight="1" thickBot="1" x14ac:dyDescent="0.3">
      <c r="A6" s="379" t="s">
        <v>660</v>
      </c>
      <c r="B6" s="380" t="s">
        <v>658</v>
      </c>
      <c r="C6" s="16"/>
      <c r="D6" s="16"/>
      <c r="E6" s="16"/>
      <c r="G6" s="850" t="s">
        <v>916</v>
      </c>
      <c r="H6" s="850"/>
      <c r="I6" s="850"/>
      <c r="J6" s="37">
        <v>1.06</v>
      </c>
      <c r="K6" s="37">
        <v>2.1800000000000002</v>
      </c>
      <c r="L6" s="37">
        <v>1</v>
      </c>
      <c r="M6" s="37">
        <f>L6*K6*J6</f>
        <v>2.3108000000000004</v>
      </c>
    </row>
    <row r="7" spans="1:13" ht="24" customHeight="1" thickBot="1" x14ac:dyDescent="0.3">
      <c r="A7" s="207" t="s">
        <v>1</v>
      </c>
      <c r="B7" s="851" t="s">
        <v>680</v>
      </c>
      <c r="C7" s="891"/>
      <c r="D7" s="891"/>
      <c r="E7" s="852"/>
      <c r="J7" s="37">
        <v>1.0649999999999999</v>
      </c>
      <c r="K7" s="37">
        <v>2.19</v>
      </c>
      <c r="L7" s="37">
        <v>1</v>
      </c>
      <c r="M7" s="37">
        <f>L7*K7*J7</f>
        <v>2.3323499999999999</v>
      </c>
    </row>
    <row r="8" spans="1:13" ht="24" customHeight="1" thickBot="1" x14ac:dyDescent="0.3">
      <c r="A8" s="207" t="s">
        <v>0</v>
      </c>
      <c r="B8" s="857" t="s">
        <v>742</v>
      </c>
      <c r="C8" s="857"/>
      <c r="D8" s="857"/>
      <c r="E8" s="857"/>
    </row>
    <row r="9" spans="1:13" ht="78.75" customHeight="1" x14ac:dyDescent="0.25">
      <c r="A9" s="214" t="s">
        <v>2</v>
      </c>
      <c r="B9" s="854" t="s">
        <v>681</v>
      </c>
      <c r="C9" s="855"/>
      <c r="D9" s="855"/>
      <c r="E9" s="855"/>
    </row>
    <row r="10" spans="1:13" ht="54" customHeight="1" x14ac:dyDescent="0.25">
      <c r="A10" s="214" t="s">
        <v>31</v>
      </c>
      <c r="B10" s="854" t="s">
        <v>759</v>
      </c>
      <c r="C10" s="855"/>
      <c r="D10" s="855"/>
      <c r="E10" s="855"/>
    </row>
    <row r="11" spans="1:13" ht="30" customHeight="1" x14ac:dyDescent="0.25">
      <c r="A11" s="215" t="s">
        <v>16</v>
      </c>
      <c r="B11" s="858" t="s">
        <v>86</v>
      </c>
      <c r="C11" s="858"/>
      <c r="D11" s="858"/>
      <c r="E11" s="858"/>
    </row>
    <row r="12" spans="1:13" ht="30" customHeight="1" x14ac:dyDescent="0.25">
      <c r="A12" s="215" t="s">
        <v>3</v>
      </c>
      <c r="B12" s="858"/>
      <c r="C12" s="858"/>
      <c r="D12" s="858"/>
      <c r="E12" s="858"/>
    </row>
    <row r="13" spans="1:13" ht="30" customHeight="1" x14ac:dyDescent="0.25">
      <c r="A13" s="215" t="s">
        <v>17</v>
      </c>
      <c r="B13" s="858"/>
      <c r="C13" s="858"/>
      <c r="D13" s="858"/>
      <c r="E13" s="858"/>
    </row>
    <row r="14" spans="1:13" ht="30" customHeight="1" x14ac:dyDescent="0.25">
      <c r="A14" s="215" t="s">
        <v>4</v>
      </c>
      <c r="B14" s="858">
        <v>2016</v>
      </c>
      <c r="C14" s="858"/>
      <c r="D14" s="858"/>
      <c r="E14" s="858"/>
    </row>
    <row r="15" spans="1:13" ht="30" customHeight="1" x14ac:dyDescent="0.25">
      <c r="A15" s="215" t="s">
        <v>5</v>
      </c>
      <c r="B15" s="858">
        <v>2020</v>
      </c>
      <c r="C15" s="858"/>
      <c r="D15" s="858"/>
      <c r="E15" s="858"/>
    </row>
    <row r="16" spans="1:13" ht="30" customHeight="1" x14ac:dyDescent="0.25">
      <c r="A16" s="215" t="s">
        <v>6</v>
      </c>
      <c r="B16" s="859">
        <v>0</v>
      </c>
      <c r="C16" s="859"/>
      <c r="D16" s="859"/>
      <c r="E16" s="859"/>
    </row>
    <row r="17" spans="1:9" ht="30" customHeight="1" x14ac:dyDescent="0.25">
      <c r="A17" s="215" t="s">
        <v>7</v>
      </c>
      <c r="B17" s="859">
        <v>0</v>
      </c>
      <c r="C17" s="859"/>
      <c r="D17" s="859"/>
      <c r="E17" s="859"/>
    </row>
    <row r="18" spans="1:9" ht="30" customHeight="1" x14ac:dyDescent="0.25">
      <c r="A18" s="210" t="s">
        <v>468</v>
      </c>
      <c r="B18" s="841"/>
      <c r="C18" s="842"/>
      <c r="D18" s="842"/>
      <c r="E18" s="842"/>
      <c r="G18" s="2"/>
      <c r="H18" s="2"/>
    </row>
    <row r="19" spans="1:9" ht="30" customHeight="1" x14ac:dyDescent="0.25">
      <c r="A19" s="238" t="s">
        <v>467</v>
      </c>
      <c r="B19" s="843"/>
      <c r="C19" s="844"/>
      <c r="D19" s="844"/>
      <c r="E19" s="844"/>
      <c r="G19" s="2"/>
      <c r="H19" s="2"/>
    </row>
    <row r="20" spans="1:9" ht="30" customHeight="1" x14ac:dyDescent="0.25">
      <c r="A20" s="215" t="s">
        <v>8</v>
      </c>
      <c r="B20" s="845">
        <v>1</v>
      </c>
      <c r="C20" s="845"/>
      <c r="D20" s="845"/>
      <c r="E20" s="845"/>
    </row>
    <row r="21" spans="1:9" ht="30" customHeight="1" x14ac:dyDescent="0.25">
      <c r="A21" s="215" t="s">
        <v>9</v>
      </c>
      <c r="B21" s="845"/>
      <c r="C21" s="845"/>
      <c r="D21" s="845"/>
      <c r="E21" s="845"/>
    </row>
    <row r="22" spans="1:9" ht="30" customHeight="1" x14ac:dyDescent="0.25">
      <c r="A22" s="215" t="s">
        <v>465</v>
      </c>
      <c r="B22" s="846">
        <f>B16/(B20+B21)</f>
        <v>0</v>
      </c>
      <c r="C22" s="846"/>
      <c r="D22" s="846"/>
      <c r="E22" s="846"/>
    </row>
    <row r="23" spans="1:9" ht="30" customHeight="1" x14ac:dyDescent="0.25">
      <c r="A23" s="215" t="s">
        <v>466</v>
      </c>
      <c r="B23" s="847">
        <f>(B16-B17)/(B20+B21)</f>
        <v>0</v>
      </c>
      <c r="C23" s="847"/>
      <c r="D23" s="847"/>
      <c r="E23" s="847"/>
    </row>
    <row r="24" spans="1:9" ht="30" customHeight="1" x14ac:dyDescent="0.25">
      <c r="A24" s="216" t="s">
        <v>476</v>
      </c>
      <c r="B24" s="849">
        <v>0</v>
      </c>
      <c r="C24" s="849"/>
      <c r="D24" s="849"/>
      <c r="E24" s="849"/>
    </row>
    <row r="25" spans="1:9" ht="30" customHeight="1" x14ac:dyDescent="0.25">
      <c r="A25" s="217" t="s">
        <v>463</v>
      </c>
      <c r="B25" s="840">
        <f>B24/'Objectifs CO2'!C15</f>
        <v>0</v>
      </c>
      <c r="C25" s="840"/>
      <c r="D25" s="840"/>
      <c r="E25" s="840"/>
    </row>
    <row r="26" spans="1:9" ht="30" customHeight="1" x14ac:dyDescent="0.25">
      <c r="A26" s="218" t="s">
        <v>464</v>
      </c>
      <c r="B26" s="840">
        <f>B24/'Objectifs CO2'!C8</f>
        <v>0</v>
      </c>
      <c r="C26" s="840"/>
      <c r="D26" s="840"/>
      <c r="E26" s="840"/>
    </row>
    <row r="27" spans="1:9" ht="30" customHeight="1" x14ac:dyDescent="0.25">
      <c r="A27" s="218" t="s">
        <v>24</v>
      </c>
      <c r="B27" s="853"/>
      <c r="C27" s="853"/>
      <c r="D27" s="853"/>
      <c r="E27" s="853"/>
    </row>
    <row r="28" spans="1:9" ht="30" customHeight="1" x14ac:dyDescent="0.25">
      <c r="A28" s="213" t="s">
        <v>418</v>
      </c>
      <c r="B28" s="853"/>
      <c r="C28" s="853"/>
      <c r="D28" s="853"/>
      <c r="E28" s="853"/>
    </row>
    <row r="30" spans="1:9" ht="23.25" customHeight="1" x14ac:dyDescent="0.25">
      <c r="B30" s="867" t="s">
        <v>530</v>
      </c>
      <c r="C30" s="867"/>
      <c r="D30" s="867"/>
      <c r="E30" s="143" t="s">
        <v>538</v>
      </c>
    </row>
    <row r="31" spans="1:9" ht="23.25" customHeight="1" x14ac:dyDescent="0.25">
      <c r="B31" s="864" t="s">
        <v>521</v>
      </c>
      <c r="C31" s="864"/>
      <c r="D31" s="864"/>
      <c r="E31" s="114"/>
      <c r="G31" s="866" t="s">
        <v>538</v>
      </c>
      <c r="H31" s="866"/>
      <c r="I31" s="866"/>
    </row>
    <row r="32" spans="1:9" ht="23.25" customHeight="1" x14ac:dyDescent="0.25">
      <c r="B32" s="864" t="s">
        <v>522</v>
      </c>
      <c r="C32" s="864"/>
      <c r="D32" s="864"/>
      <c r="E32" s="114"/>
      <c r="G32" s="252">
        <v>3</v>
      </c>
      <c r="H32" s="866" t="s">
        <v>535</v>
      </c>
      <c r="I32" s="866"/>
    </row>
    <row r="33" spans="2:9" ht="23.25" customHeight="1" x14ac:dyDescent="0.25">
      <c r="B33" s="864" t="s">
        <v>524</v>
      </c>
      <c r="C33" s="864"/>
      <c r="D33" s="864"/>
      <c r="E33" s="114"/>
      <c r="G33" s="252">
        <v>2</v>
      </c>
      <c r="H33" s="866" t="s">
        <v>536</v>
      </c>
      <c r="I33" s="866"/>
    </row>
    <row r="34" spans="2:9" ht="23.25" customHeight="1" x14ac:dyDescent="0.25">
      <c r="B34" s="864" t="s">
        <v>523</v>
      </c>
      <c r="C34" s="864"/>
      <c r="D34" s="864"/>
      <c r="E34" s="114"/>
      <c r="G34" s="252">
        <v>1</v>
      </c>
      <c r="H34" s="866" t="s">
        <v>537</v>
      </c>
      <c r="I34" s="866"/>
    </row>
    <row r="35" spans="2:9" ht="23.25" customHeight="1" x14ac:dyDescent="0.25">
      <c r="B35" s="864" t="s">
        <v>525</v>
      </c>
      <c r="C35" s="864"/>
      <c r="D35" s="864"/>
      <c r="E35" s="114"/>
    </row>
    <row r="36" spans="2:9" ht="23.25" customHeight="1" x14ac:dyDescent="0.25">
      <c r="B36" s="864" t="s">
        <v>526</v>
      </c>
      <c r="C36" s="864"/>
      <c r="D36" s="864"/>
      <c r="E36" s="114"/>
    </row>
    <row r="37" spans="2:9" ht="23.25" customHeight="1" x14ac:dyDescent="0.25">
      <c r="B37" s="864" t="s">
        <v>527</v>
      </c>
      <c r="C37" s="864"/>
      <c r="D37" s="864"/>
      <c r="E37" s="114"/>
    </row>
    <row r="38" spans="2:9" ht="23.25" customHeight="1" x14ac:dyDescent="0.25">
      <c r="B38" s="864" t="s">
        <v>528</v>
      </c>
      <c r="C38" s="864"/>
      <c r="D38" s="864"/>
      <c r="E38" s="114"/>
    </row>
    <row r="39" spans="2:9" ht="23.25" customHeight="1" x14ac:dyDescent="0.25">
      <c r="B39" s="864" t="s">
        <v>529</v>
      </c>
      <c r="C39" s="864"/>
      <c r="D39" s="864"/>
      <c r="E39" s="114"/>
      <c r="G39" s="863" t="s">
        <v>541</v>
      </c>
      <c r="H39" s="863"/>
      <c r="I39" s="863"/>
    </row>
    <row r="40" spans="2:9" ht="23.25" customHeight="1" x14ac:dyDescent="0.25">
      <c r="B40" s="865" t="s">
        <v>395</v>
      </c>
      <c r="C40" s="865"/>
      <c r="D40" s="865"/>
      <c r="E40" s="258">
        <f>SUM(E31:E39)</f>
        <v>0</v>
      </c>
      <c r="G40" s="254" t="s">
        <v>542</v>
      </c>
      <c r="H40" s="257" t="s">
        <v>543</v>
      </c>
      <c r="I40" s="254" t="s">
        <v>544</v>
      </c>
    </row>
    <row r="41" spans="2:9" ht="23.25" customHeight="1" x14ac:dyDescent="0.25">
      <c r="E41" s="202" t="s">
        <v>663</v>
      </c>
      <c r="G41" s="254" t="s">
        <v>545</v>
      </c>
      <c r="H41" s="254" t="s">
        <v>547</v>
      </c>
      <c r="I41" s="254" t="s">
        <v>546</v>
      </c>
    </row>
    <row r="43" spans="2:9" ht="23.25" customHeight="1" x14ac:dyDescent="0.25">
      <c r="B43" s="860" t="s">
        <v>520</v>
      </c>
      <c r="C43" s="861"/>
      <c r="D43" s="862"/>
      <c r="E43" s="251">
        <v>1</v>
      </c>
      <c r="G43" s="254">
        <v>1</v>
      </c>
      <c r="H43" s="254" t="s">
        <v>539</v>
      </c>
    </row>
    <row r="44" spans="2:9" ht="23.25" customHeight="1" x14ac:dyDescent="0.25">
      <c r="G44" s="254">
        <v>0</v>
      </c>
      <c r="H44" s="254" t="s">
        <v>540</v>
      </c>
    </row>
  </sheetData>
  <mergeCells count="45">
    <mergeCell ref="B43:D43"/>
    <mergeCell ref="B33:D33"/>
    <mergeCell ref="H33:I33"/>
    <mergeCell ref="B34:D34"/>
    <mergeCell ref="H34:I34"/>
    <mergeCell ref="B35:D35"/>
    <mergeCell ref="B36:D36"/>
    <mergeCell ref="B37:D37"/>
    <mergeCell ref="B38:D38"/>
    <mergeCell ref="B39:D39"/>
    <mergeCell ref="G39:I39"/>
    <mergeCell ref="B40:D40"/>
    <mergeCell ref="B32:D32"/>
    <mergeCell ref="H32:I32"/>
    <mergeCell ref="B21:E21"/>
    <mergeCell ref="B22:E22"/>
    <mergeCell ref="B23:E23"/>
    <mergeCell ref="B24:E24"/>
    <mergeCell ref="B25:E25"/>
    <mergeCell ref="B26:E26"/>
    <mergeCell ref="B27:E27"/>
    <mergeCell ref="B28:E28"/>
    <mergeCell ref="B30:D30"/>
    <mergeCell ref="B31:D31"/>
    <mergeCell ref="G31:I31"/>
    <mergeCell ref="B20:E20"/>
    <mergeCell ref="B9:E9"/>
    <mergeCell ref="B10:E10"/>
    <mergeCell ref="B11:E11"/>
    <mergeCell ref="B12:E12"/>
    <mergeCell ref="B13:E13"/>
    <mergeCell ref="B14:E14"/>
    <mergeCell ref="B15:E15"/>
    <mergeCell ref="B16:E16"/>
    <mergeCell ref="B17:E17"/>
    <mergeCell ref="B18:E18"/>
    <mergeCell ref="B19:E19"/>
    <mergeCell ref="B8:E8"/>
    <mergeCell ref="G6:I6"/>
    <mergeCell ref="A2:E2"/>
    <mergeCell ref="G4:I4"/>
    <mergeCell ref="C5:D5"/>
    <mergeCell ref="G5:I5"/>
    <mergeCell ref="B7:E7"/>
    <mergeCell ref="C4:D4"/>
  </mergeCells>
  <conditionalFormatting sqref="E5">
    <cfRule type="containsText" dxfId="227" priority="1" operator="containsText" text="Terminé">
      <formula>NOT(ISERROR(SEARCH("Terminé",E5)))</formula>
    </cfRule>
    <cfRule type="containsText" dxfId="226" priority="2" operator="containsText" text="En cours">
      <formula>NOT(ISERROR(SEARCH("En cours",E5)))</formula>
    </cfRule>
    <cfRule type="containsText" dxfId="225"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ESUME CRITERES"/>
    <hyperlink ref="G6" location="CALENDRIER!A1" display="Lien vers CALENDRIER"/>
  </hyperlinks>
  <pageMargins left="0.7" right="0.7" top="0.75" bottom="0.75" header="0.3" footer="0.3"/>
  <pageSetup paperSize="9" scale="88" orientation="portrait" r:id="rId1"/>
  <colBreaks count="1" manualBreakCount="1">
    <brk id="5"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32"/>
  <sheetViews>
    <sheetView showGridLines="0" view="pageBreakPreview" topLeftCell="A13" zoomScaleNormal="115" zoomScaleSheetLayoutView="100" workbookViewId="0">
      <selection activeCell="C17" sqref="C17:H32"/>
    </sheetView>
  </sheetViews>
  <sheetFormatPr baseColWidth="10" defaultRowHeight="15" x14ac:dyDescent="0.25"/>
  <cols>
    <col min="1" max="1" width="26.5703125" style="37" customWidth="1"/>
    <col min="2" max="2" width="18.28515625" style="37" customWidth="1"/>
    <col min="3" max="5" width="11.42578125" style="37"/>
    <col min="6" max="6" width="14.42578125" style="37" customWidth="1"/>
    <col min="7" max="7" width="12.85546875" style="37" customWidth="1"/>
    <col min="8" max="8" width="11.42578125" style="37"/>
    <col min="9" max="9" width="0" style="37" hidden="1" customWidth="1"/>
    <col min="10" max="14" width="9.5703125" style="37" customWidth="1"/>
    <col min="15" max="16384" width="11.42578125" style="37"/>
  </cols>
  <sheetData>
    <row r="1" spans="1:20" ht="26.25" x14ac:dyDescent="0.4">
      <c r="A1" s="8" t="s">
        <v>54</v>
      </c>
      <c r="B1" s="48" t="s">
        <v>83</v>
      </c>
      <c r="D1" s="821" t="s">
        <v>848</v>
      </c>
      <c r="E1" s="821"/>
      <c r="F1" s="821"/>
      <c r="G1" s="821"/>
      <c r="H1" s="322"/>
      <c r="I1" s="322"/>
      <c r="J1" s="322"/>
    </row>
    <row r="3" spans="1:20" ht="18.75" x14ac:dyDescent="0.3">
      <c r="A3" s="66" t="s">
        <v>77</v>
      </c>
      <c r="B3" s="81">
        <f>T28*1000</f>
        <v>157505.54580251552</v>
      </c>
      <c r="C3" s="70" t="s">
        <v>76</v>
      </c>
      <c r="D3" s="70" t="s">
        <v>13</v>
      </c>
      <c r="E3" s="67" t="s">
        <v>32</v>
      </c>
      <c r="F3" s="67" t="s">
        <v>70</v>
      </c>
      <c r="G3" s="59" t="s">
        <v>71</v>
      </c>
      <c r="P3" s="37" t="s">
        <v>18</v>
      </c>
    </row>
    <row r="4" spans="1:20" ht="15.75" thickBot="1" x14ac:dyDescent="0.3">
      <c r="A4" s="75"/>
      <c r="B4" s="75" t="s">
        <v>11</v>
      </c>
      <c r="C4" s="82">
        <f>B3/5</f>
        <v>31501.109160503103</v>
      </c>
      <c r="D4" s="71">
        <v>0.20399999999999999</v>
      </c>
      <c r="E4" s="78">
        <f>SUM('Synthèse ECO'!R2:R92)</f>
        <v>19804.53552517451</v>
      </c>
      <c r="F4" s="61">
        <f>E4/B$3</f>
        <v>0.1257386552598341</v>
      </c>
      <c r="G4" s="73">
        <f>E4/C$4</f>
        <v>0.62869327629917049</v>
      </c>
      <c r="P4" s="37" t="s">
        <v>19</v>
      </c>
    </row>
    <row r="5" spans="1:20" x14ac:dyDescent="0.25">
      <c r="A5" s="834" t="s">
        <v>23</v>
      </c>
      <c r="B5" s="68" t="s">
        <v>39</v>
      </c>
      <c r="C5" s="63">
        <f t="shared" ref="C5:C10" si="0">C$4*D5</f>
        <v>9450.3327481509314</v>
      </c>
      <c r="D5" s="64">
        <v>0.3</v>
      </c>
      <c r="E5" s="65">
        <f>SUM('Synthèse ECO'!S2:S92)</f>
        <v>0</v>
      </c>
      <c r="F5" s="61">
        <f t="shared" ref="F5:F10" si="1">E5/B$3</f>
        <v>0</v>
      </c>
      <c r="G5" s="73">
        <f t="shared" ref="G5:G10" si="2">E5/C$4</f>
        <v>0</v>
      </c>
      <c r="P5" s="37" t="s">
        <v>20</v>
      </c>
    </row>
    <row r="6" spans="1:20" x14ac:dyDescent="0.25">
      <c r="A6" s="835"/>
      <c r="B6" s="69" t="s">
        <v>61</v>
      </c>
      <c r="C6" s="63">
        <f t="shared" si="0"/>
        <v>1575.0554580251553</v>
      </c>
      <c r="D6" s="64">
        <v>0.05</v>
      </c>
      <c r="E6" s="65">
        <f>SUM('Synthèse ECO'!T2:T92)</f>
        <v>0</v>
      </c>
      <c r="F6" s="61">
        <f t="shared" si="1"/>
        <v>0</v>
      </c>
      <c r="G6" s="73">
        <f t="shared" si="2"/>
        <v>0</v>
      </c>
      <c r="P6" s="37" t="s">
        <v>21</v>
      </c>
    </row>
    <row r="7" spans="1:20" x14ac:dyDescent="0.25">
      <c r="A7" s="835"/>
      <c r="B7" s="68" t="s">
        <v>35</v>
      </c>
      <c r="C7" s="63">
        <f t="shared" si="0"/>
        <v>9450.3327481509314</v>
      </c>
      <c r="D7" s="64">
        <v>0.3</v>
      </c>
      <c r="E7" s="65">
        <f>SUM('Synthèse ECO'!U2:U92)</f>
        <v>10763.675971461626</v>
      </c>
      <c r="F7" s="61">
        <f t="shared" si="1"/>
        <v>6.8338393525250202E-2</v>
      </c>
      <c r="G7" s="73">
        <f t="shared" si="2"/>
        <v>0.34169196762625104</v>
      </c>
      <c r="P7" s="37" t="s">
        <v>45</v>
      </c>
    </row>
    <row r="8" spans="1:20" x14ac:dyDescent="0.25">
      <c r="A8" s="835"/>
      <c r="B8" s="68" t="s">
        <v>41</v>
      </c>
      <c r="C8" s="63">
        <f t="shared" si="0"/>
        <v>3150.1109160503106</v>
      </c>
      <c r="D8" s="64">
        <v>0.1</v>
      </c>
      <c r="E8" s="65">
        <f>SUM('Synthèse ECO'!V2:V92)</f>
        <v>52.2</v>
      </c>
      <c r="F8" s="61">
        <f t="shared" si="1"/>
        <v>3.3141690176071451E-4</v>
      </c>
      <c r="G8" s="73">
        <f t="shared" si="2"/>
        <v>1.6570845088035725E-3</v>
      </c>
      <c r="P8" s="37" t="s">
        <v>22</v>
      </c>
    </row>
    <row r="9" spans="1:20" x14ac:dyDescent="0.25">
      <c r="A9" s="835"/>
      <c r="B9" s="68" t="s">
        <v>37</v>
      </c>
      <c r="C9" s="63">
        <f t="shared" si="0"/>
        <v>4725.1663740754657</v>
      </c>
      <c r="D9" s="64">
        <v>0.15</v>
      </c>
      <c r="E9" s="65">
        <f>SUM('Synthèse ECO'!W2:W92)</f>
        <v>59.915153712881931</v>
      </c>
      <c r="F9" s="61">
        <f t="shared" si="1"/>
        <v>3.8040027992414363E-4</v>
      </c>
      <c r="G9" s="73">
        <f t="shared" si="2"/>
        <v>1.9020013996207182E-3</v>
      </c>
    </row>
    <row r="10" spans="1:20" ht="15.75" thickBot="1" x14ac:dyDescent="0.3">
      <c r="A10" s="836"/>
      <c r="B10" s="68" t="s">
        <v>40</v>
      </c>
      <c r="C10" s="63">
        <f t="shared" si="0"/>
        <v>630.02218321006205</v>
      </c>
      <c r="D10" s="64">
        <v>0.02</v>
      </c>
      <c r="E10" s="65">
        <f>SUM('Synthèse ECO'!X2:X92)</f>
        <v>8928.7443999999996</v>
      </c>
      <c r="F10" s="58">
        <f t="shared" si="1"/>
        <v>5.668844455289903E-2</v>
      </c>
      <c r="G10" s="74">
        <f t="shared" si="2"/>
        <v>0.28344222276449516</v>
      </c>
    </row>
    <row r="11" spans="1:20" x14ac:dyDescent="0.25">
      <c r="A11" s="12"/>
      <c r="D11" s="62">
        <f>SUM(D5:D10)</f>
        <v>0.91999999999999993</v>
      </c>
      <c r="G11" s="827" t="s">
        <v>563</v>
      </c>
      <c r="H11" s="827"/>
    </row>
    <row r="12" spans="1:20" x14ac:dyDescent="0.25">
      <c r="G12" s="827" t="s">
        <v>595</v>
      </c>
      <c r="H12" s="827"/>
    </row>
    <row r="13" spans="1:20" x14ac:dyDescent="0.25">
      <c r="B13" s="256" t="s">
        <v>181</v>
      </c>
      <c r="C13" s="316" t="s">
        <v>679</v>
      </c>
      <c r="D13" s="256" t="s">
        <v>90</v>
      </c>
      <c r="E13" s="256" t="s">
        <v>156</v>
      </c>
      <c r="F13" s="256" t="s">
        <v>196</v>
      </c>
      <c r="G13" s="256" t="s">
        <v>121</v>
      </c>
      <c r="H13" s="256" t="s">
        <v>134</v>
      </c>
      <c r="I13" s="256" t="s">
        <v>704</v>
      </c>
      <c r="O13" s="99"/>
      <c r="P13" s="825" t="s">
        <v>66</v>
      </c>
      <c r="Q13" s="825"/>
      <c r="R13" s="825"/>
      <c r="S13" s="825"/>
      <c r="T13" s="825"/>
    </row>
    <row r="14" spans="1:20" x14ac:dyDescent="0.25">
      <c r="B14" s="256" t="s">
        <v>182</v>
      </c>
      <c r="C14" s="316" t="s">
        <v>682</v>
      </c>
      <c r="D14" s="256" t="s">
        <v>92</v>
      </c>
      <c r="E14" s="256" t="s">
        <v>157</v>
      </c>
      <c r="F14" s="316" t="s">
        <v>700</v>
      </c>
      <c r="G14" s="256" t="s">
        <v>122</v>
      </c>
      <c r="H14" s="256" t="s">
        <v>143</v>
      </c>
      <c r="I14" s="316" t="s">
        <v>707</v>
      </c>
      <c r="O14" s="102"/>
      <c r="P14" s="103" t="s">
        <v>57</v>
      </c>
      <c r="Q14" s="103" t="s">
        <v>58</v>
      </c>
      <c r="R14" s="103" t="s">
        <v>59</v>
      </c>
      <c r="S14" s="103" t="s">
        <v>67</v>
      </c>
      <c r="T14" s="103" t="s">
        <v>60</v>
      </c>
    </row>
    <row r="15" spans="1:20" x14ac:dyDescent="0.25">
      <c r="B15" s="256" t="s">
        <v>183</v>
      </c>
      <c r="C15" s="316" t="s">
        <v>684</v>
      </c>
      <c r="D15" s="316" t="s">
        <v>693</v>
      </c>
      <c r="E15" s="256" t="s">
        <v>405</v>
      </c>
      <c r="F15" s="256" t="s">
        <v>95</v>
      </c>
      <c r="G15" s="256" t="s">
        <v>123</v>
      </c>
      <c r="H15" s="316" t="s">
        <v>716</v>
      </c>
      <c r="I15" s="316" t="s">
        <v>708</v>
      </c>
      <c r="O15" s="49" t="s">
        <v>39</v>
      </c>
      <c r="P15" s="104">
        <v>11.135566240786474</v>
      </c>
      <c r="Q15" s="104"/>
      <c r="R15" s="104">
        <v>448.31313971217003</v>
      </c>
      <c r="S15" s="104"/>
      <c r="T15" s="105">
        <v>459.44870595295652</v>
      </c>
    </row>
    <row r="16" spans="1:20" x14ac:dyDescent="0.25">
      <c r="B16" s="256" t="s">
        <v>190</v>
      </c>
      <c r="C16" s="316" t="s">
        <v>688</v>
      </c>
      <c r="D16" s="316" t="s">
        <v>692</v>
      </c>
      <c r="E16" s="154"/>
      <c r="F16" s="256" t="s">
        <v>98</v>
      </c>
      <c r="G16" s="256" t="s">
        <v>124</v>
      </c>
      <c r="H16" s="256" t="s">
        <v>144</v>
      </c>
      <c r="I16" s="316" t="s">
        <v>710</v>
      </c>
      <c r="O16" s="49" t="s">
        <v>84</v>
      </c>
      <c r="P16" s="105">
        <v>360.77897458880801</v>
      </c>
      <c r="Q16" s="105">
        <v>4173</v>
      </c>
      <c r="R16" s="105">
        <v>967.27542551125725</v>
      </c>
      <c r="S16" s="105">
        <v>10.480466769978122</v>
      </c>
      <c r="T16" s="105">
        <v>5511</v>
      </c>
    </row>
    <row r="17" spans="1:20" x14ac:dyDescent="0.25">
      <c r="A17" s="833" t="s">
        <v>903</v>
      </c>
      <c r="B17" s="833"/>
      <c r="C17" s="828" t="s">
        <v>904</v>
      </c>
      <c r="D17" s="829"/>
      <c r="E17" s="829"/>
      <c r="F17" s="829"/>
      <c r="G17" s="829"/>
      <c r="H17" s="830"/>
      <c r="I17" s="316" t="s">
        <v>720</v>
      </c>
      <c r="O17" s="49" t="s">
        <v>35</v>
      </c>
      <c r="P17" s="105">
        <v>1722.8703318750379</v>
      </c>
      <c r="Q17" s="105">
        <v>0</v>
      </c>
      <c r="R17" s="105">
        <v>13167.08360060105</v>
      </c>
      <c r="S17" s="105">
        <v>588.54415192662543</v>
      </c>
      <c r="T17" s="105">
        <v>15478.498084402714</v>
      </c>
    </row>
    <row r="18" spans="1:20" x14ac:dyDescent="0.25">
      <c r="A18" s="649" t="s">
        <v>181</v>
      </c>
      <c r="B18" s="649" t="s">
        <v>907</v>
      </c>
      <c r="C18" s="647" t="s">
        <v>90</v>
      </c>
      <c r="D18" s="751"/>
      <c r="E18" s="751"/>
      <c r="F18" s="647" t="s">
        <v>123</v>
      </c>
      <c r="G18" s="647" t="s">
        <v>134</v>
      </c>
      <c r="H18" s="647" t="s">
        <v>704</v>
      </c>
      <c r="I18" s="256" t="s">
        <v>480</v>
      </c>
      <c r="O18" s="49" t="s">
        <v>41</v>
      </c>
      <c r="P18" s="105">
        <v>961.46218655976577</v>
      </c>
      <c r="Q18" s="105">
        <v>0</v>
      </c>
      <c r="R18" s="105">
        <v>2395.7966992010488</v>
      </c>
      <c r="S18" s="105">
        <v>5.7442986544958279</v>
      </c>
      <c r="T18" s="105">
        <v>3363.00318441531</v>
      </c>
    </row>
    <row r="19" spans="1:20" x14ac:dyDescent="0.25">
      <c r="A19" s="649" t="s">
        <v>182</v>
      </c>
      <c r="B19" s="649" t="s">
        <v>908</v>
      </c>
      <c r="C19" s="647" t="s">
        <v>92</v>
      </c>
      <c r="D19" s="751"/>
      <c r="E19" s="751"/>
      <c r="F19" s="647" t="s">
        <v>124</v>
      </c>
      <c r="G19" s="647" t="s">
        <v>143</v>
      </c>
      <c r="H19" s="647" t="s">
        <v>707</v>
      </c>
      <c r="I19" s="256" t="s">
        <v>479</v>
      </c>
      <c r="O19" s="49" t="s">
        <v>37</v>
      </c>
      <c r="P19" s="105">
        <v>386.2290950467895</v>
      </c>
      <c r="Q19" s="105"/>
      <c r="R19" s="105">
        <v>8783.1709070075231</v>
      </c>
      <c r="S19" s="105"/>
      <c r="T19" s="105">
        <v>9169.4000020543117</v>
      </c>
    </row>
    <row r="20" spans="1:20" x14ac:dyDescent="0.25">
      <c r="A20" s="649" t="s">
        <v>183</v>
      </c>
      <c r="B20" s="650"/>
      <c r="C20" s="647" t="s">
        <v>693</v>
      </c>
      <c r="D20" s="647" t="s">
        <v>157</v>
      </c>
      <c r="E20" s="751"/>
      <c r="F20" s="647" t="s">
        <v>129</v>
      </c>
      <c r="G20" s="647" t="s">
        <v>716</v>
      </c>
      <c r="H20" s="647" t="s">
        <v>708</v>
      </c>
      <c r="I20" s="316" t="s">
        <v>719</v>
      </c>
      <c r="O20" s="50" t="s">
        <v>68</v>
      </c>
      <c r="P20" s="106">
        <v>3442.4761543111877</v>
      </c>
      <c r="Q20" s="106">
        <v>4173</v>
      </c>
      <c r="R20" s="106">
        <v>25761.639772033046</v>
      </c>
      <c r="S20" s="106">
        <v>604.76891735109939</v>
      </c>
      <c r="T20" s="106">
        <v>33981</v>
      </c>
    </row>
    <row r="21" spans="1:20" x14ac:dyDescent="0.25">
      <c r="A21" s="649" t="s">
        <v>190</v>
      </c>
      <c r="B21" s="650"/>
      <c r="C21" s="647" t="s">
        <v>692</v>
      </c>
      <c r="D21" s="647" t="s">
        <v>405</v>
      </c>
      <c r="E21" s="751"/>
      <c r="F21" s="647" t="s">
        <v>130</v>
      </c>
      <c r="G21" s="647" t="s">
        <v>144</v>
      </c>
      <c r="H21" s="647" t="s">
        <v>710</v>
      </c>
      <c r="I21" s="316" t="s">
        <v>800</v>
      </c>
    </row>
    <row r="22" spans="1:20" x14ac:dyDescent="0.25">
      <c r="A22" s="649" t="s">
        <v>180</v>
      </c>
      <c r="B22" s="650"/>
      <c r="C22" s="647" t="s">
        <v>91</v>
      </c>
      <c r="D22" s="647" t="s">
        <v>879</v>
      </c>
      <c r="E22" s="647" t="s">
        <v>98</v>
      </c>
      <c r="F22" s="647" t="s">
        <v>275</v>
      </c>
      <c r="G22" s="647" t="s">
        <v>146</v>
      </c>
      <c r="H22" s="647" t="s">
        <v>720</v>
      </c>
      <c r="I22" s="256" t="s">
        <v>478</v>
      </c>
      <c r="O22" s="51">
        <v>2006</v>
      </c>
      <c r="P22" s="52" t="s">
        <v>57</v>
      </c>
      <c r="Q22" s="52" t="s">
        <v>58</v>
      </c>
      <c r="R22" s="52" t="s">
        <v>59</v>
      </c>
      <c r="S22" s="52" t="s">
        <v>67</v>
      </c>
      <c r="T22" s="53" t="s">
        <v>60</v>
      </c>
    </row>
    <row r="23" spans="1:20" x14ac:dyDescent="0.25">
      <c r="A23" s="649" t="s">
        <v>308</v>
      </c>
      <c r="B23" s="650"/>
      <c r="C23" s="647" t="s">
        <v>601</v>
      </c>
      <c r="D23" s="647" t="s">
        <v>162</v>
      </c>
      <c r="E23" s="647" t="s">
        <v>794</v>
      </c>
      <c r="F23" s="647" t="s">
        <v>793</v>
      </c>
      <c r="G23" s="647" t="s">
        <v>862</v>
      </c>
      <c r="H23" s="648"/>
      <c r="I23" s="256" t="s">
        <v>477</v>
      </c>
      <c r="O23" s="54" t="s">
        <v>39</v>
      </c>
      <c r="P23" s="55">
        <v>9.5212997731997179E-2</v>
      </c>
      <c r="Q23" s="55"/>
      <c r="R23" s="55">
        <v>1.7228321684903691</v>
      </c>
      <c r="S23" s="55"/>
      <c r="T23" s="55">
        <v>1.8180451662223662</v>
      </c>
    </row>
    <row r="24" spans="1:20" x14ac:dyDescent="0.25">
      <c r="A24" s="649" t="s">
        <v>309</v>
      </c>
      <c r="B24" s="650"/>
      <c r="C24" s="647" t="s">
        <v>694</v>
      </c>
      <c r="D24" s="647" t="s">
        <v>166</v>
      </c>
      <c r="E24" s="647" t="s">
        <v>101</v>
      </c>
      <c r="F24" s="647" t="s">
        <v>276</v>
      </c>
      <c r="G24" s="647" t="s">
        <v>863</v>
      </c>
      <c r="H24" s="647" t="s">
        <v>480</v>
      </c>
      <c r="O24" s="54" t="s">
        <v>61</v>
      </c>
      <c r="P24" s="55">
        <v>3.0847867945375667</v>
      </c>
      <c r="Q24" s="55">
        <v>20.771307194444443</v>
      </c>
      <c r="R24" s="55">
        <v>3.7125165868453855</v>
      </c>
      <c r="S24" s="55">
        <v>0.50876052281447193</v>
      </c>
      <c r="T24" s="55">
        <v>28.077371098641869</v>
      </c>
    </row>
    <row r="25" spans="1:20" x14ac:dyDescent="0.25">
      <c r="A25" s="649" t="s">
        <v>317</v>
      </c>
      <c r="B25" s="650"/>
      <c r="C25" s="647" t="s">
        <v>695</v>
      </c>
      <c r="D25" s="647" t="s">
        <v>170</v>
      </c>
      <c r="E25" s="647" t="s">
        <v>104</v>
      </c>
      <c r="F25" s="647" t="s">
        <v>287</v>
      </c>
      <c r="G25" s="647" t="s">
        <v>998</v>
      </c>
      <c r="H25" s="647" t="s">
        <v>905</v>
      </c>
      <c r="O25" s="54" t="s">
        <v>35</v>
      </c>
      <c r="P25" s="55">
        <v>14.731145723017812</v>
      </c>
      <c r="Q25" s="55">
        <v>0</v>
      </c>
      <c r="R25" s="55">
        <v>50.37211855892339</v>
      </c>
      <c r="S25" s="55">
        <v>7.7563980791880773</v>
      </c>
      <c r="T25" s="55">
        <v>72.859662361129281</v>
      </c>
    </row>
    <row r="26" spans="1:20" x14ac:dyDescent="0.25">
      <c r="A26" s="649" t="s">
        <v>316</v>
      </c>
      <c r="B26" s="650"/>
      <c r="C26" s="647" t="s">
        <v>745</v>
      </c>
      <c r="D26" s="647" t="s">
        <v>409</v>
      </c>
      <c r="E26" s="751"/>
      <c r="F26" s="647" t="s">
        <v>239</v>
      </c>
      <c r="G26" s="647" t="s">
        <v>149</v>
      </c>
      <c r="H26" s="647" t="s">
        <v>479</v>
      </c>
      <c r="O26" s="54" t="s">
        <v>41</v>
      </c>
      <c r="P26" s="55">
        <v>8.2208389774573831</v>
      </c>
      <c r="Q26" s="55">
        <v>0</v>
      </c>
      <c r="R26" s="55">
        <v>9.1953488633210441</v>
      </c>
      <c r="S26" s="55">
        <v>0.27884944924737032</v>
      </c>
      <c r="T26" s="55">
        <v>17.695037290025798</v>
      </c>
    </row>
    <row r="27" spans="1:20" x14ac:dyDescent="0.25">
      <c r="A27" s="649" t="s">
        <v>315</v>
      </c>
      <c r="B27" s="650"/>
      <c r="C27" s="647" t="s">
        <v>156</v>
      </c>
      <c r="D27" s="647" t="s">
        <v>406</v>
      </c>
      <c r="E27" s="647" t="s">
        <v>106</v>
      </c>
      <c r="F27" s="751"/>
      <c r="G27" s="647" t="s">
        <v>717</v>
      </c>
      <c r="H27" s="647" t="s">
        <v>719</v>
      </c>
      <c r="O27" s="54" t="s">
        <v>37</v>
      </c>
      <c r="P27" s="55">
        <v>3.3023942523935848</v>
      </c>
      <c r="Q27" s="55"/>
      <c r="R27" s="55">
        <v>33.753035634102602</v>
      </c>
      <c r="S27" s="55"/>
      <c r="T27" s="55">
        <v>37.055429886496185</v>
      </c>
    </row>
    <row r="28" spans="1:20" x14ac:dyDescent="0.25">
      <c r="A28" s="649" t="s">
        <v>408</v>
      </c>
      <c r="B28" s="650"/>
      <c r="C28" s="647" t="s">
        <v>939</v>
      </c>
      <c r="D28" s="647" t="s">
        <v>210</v>
      </c>
      <c r="E28" s="647" t="s">
        <v>109</v>
      </c>
      <c r="F28" s="751"/>
      <c r="G28" s="647" t="s">
        <v>148</v>
      </c>
      <c r="H28" s="647" t="s">
        <v>800</v>
      </c>
      <c r="O28" s="56" t="s">
        <v>62</v>
      </c>
      <c r="P28" s="57">
        <v>29.434378745138346</v>
      </c>
      <c r="Q28" s="57">
        <v>20.771307194444443</v>
      </c>
      <c r="R28" s="57">
        <v>98.755851811682788</v>
      </c>
      <c r="S28" s="57">
        <v>8.5440080512499197</v>
      </c>
      <c r="T28" s="57">
        <v>157.50554580251551</v>
      </c>
    </row>
    <row r="29" spans="1:20" x14ac:dyDescent="0.25">
      <c r="A29" s="649" t="s">
        <v>679</v>
      </c>
      <c r="B29" s="650"/>
      <c r="C29" s="647" t="s">
        <v>947</v>
      </c>
      <c r="D29" s="647" t="s">
        <v>211</v>
      </c>
      <c r="E29" s="647" t="s">
        <v>114</v>
      </c>
      <c r="F29" s="751"/>
      <c r="G29" s="647" t="s">
        <v>909</v>
      </c>
      <c r="H29" s="647" t="s">
        <v>478</v>
      </c>
    </row>
    <row r="30" spans="1:20" x14ac:dyDescent="0.25">
      <c r="A30" s="649" t="s">
        <v>682</v>
      </c>
      <c r="B30" s="650"/>
      <c r="C30" s="647" t="s">
        <v>964</v>
      </c>
      <c r="D30" s="647" t="s">
        <v>196</v>
      </c>
      <c r="E30" s="647" t="s">
        <v>118</v>
      </c>
      <c r="F30" s="751"/>
      <c r="G30" s="648"/>
      <c r="H30" s="647" t="s">
        <v>477</v>
      </c>
    </row>
    <row r="31" spans="1:20" x14ac:dyDescent="0.25">
      <c r="A31" s="649" t="s">
        <v>684</v>
      </c>
      <c r="B31" s="650"/>
      <c r="C31" s="751"/>
      <c r="D31" s="647" t="s">
        <v>700</v>
      </c>
      <c r="E31" s="647" t="s">
        <v>121</v>
      </c>
      <c r="F31" s="648"/>
      <c r="G31" s="648"/>
      <c r="H31" s="648"/>
    </row>
    <row r="32" spans="1:20" x14ac:dyDescent="0.25">
      <c r="A32" s="649" t="s">
        <v>688</v>
      </c>
      <c r="B32" s="650"/>
      <c r="C32" s="751"/>
      <c r="D32" s="647" t="s">
        <v>95</v>
      </c>
      <c r="E32" s="647" t="s">
        <v>122</v>
      </c>
      <c r="F32" s="648"/>
      <c r="G32" s="648"/>
      <c r="H32" s="648"/>
    </row>
  </sheetData>
  <mergeCells count="7">
    <mergeCell ref="D1:G1"/>
    <mergeCell ref="A17:B17"/>
    <mergeCell ref="C17:H17"/>
    <mergeCell ref="A5:A10"/>
    <mergeCell ref="P13:T13"/>
    <mergeCell ref="G11:H11"/>
    <mergeCell ref="G12:H12"/>
  </mergeCells>
  <dataValidations count="1">
    <dataValidation type="list" allowBlank="1" showInputMessage="1" showErrorMessage="1" sqref="O22">
      <formula1>$B$7:$B$9</formula1>
    </dataValidation>
  </dataValidations>
  <hyperlinks>
    <hyperlink ref="G11" location="'Synthèse ECO'!A1" display="Lien vers Synthèse ECO"/>
    <hyperlink ref="G12" location="CALENDRIER!A1" display="Lien vers CALENDRIER"/>
    <hyperlink ref="F13" location="'ADU-113'!A1" display="'ADU-113'!A1"/>
    <hyperlink ref="B13" location="'ADO-1'!A1" display="'ADO-1'!A1"/>
    <hyperlink ref="B14" location="'ADO-2'!A1" display="'ADO-2'!A1"/>
    <hyperlink ref="B15" location="'ADO-3'!A1" display="'ADO-3'!A1"/>
    <hyperlink ref="B16" location="'ADO-4'!A1" display="'ADO-4'!A1"/>
    <hyperlink ref="D13" location="'ADU-1'!A1" display="'ADU-1'!A1"/>
    <hyperlink ref="D14" location="'ADU-2'!A1" display="'ADU-2'!A1"/>
    <hyperlink ref="E13" location="'ADU-5'!A1" display="'ADU-5'!A1"/>
    <hyperlink ref="E14" location="'ADU-6'!A1" display="'ADU-6'!A1"/>
    <hyperlink ref="E15" location="'ADU-61'!A1" display="'ADU-61'!A1"/>
    <hyperlink ref="F15" location="'ADU-12'!A1" display="'ADU-12'!A1"/>
    <hyperlink ref="F16" location="'ADU-13'!A1" display="'ADU-13'!A1"/>
    <hyperlink ref="G13" location="'ADU-20'!A1" display="'ADU-20'!A1"/>
    <hyperlink ref="G14" location="'ADU-21'!A1" display="'ADU-21'!A1"/>
    <hyperlink ref="G15" location="'ADU-22'!A1" display="'ADU-22'!A1"/>
    <hyperlink ref="G16" location="'ADU-23'!A1" display="'ADU-23'!A1"/>
    <hyperlink ref="H13" location="'ADU-30'!A1" display="'ADU-30'!A1"/>
    <hyperlink ref="H14" location="'ADU-31'!A1" display="'ADU-31'!A1"/>
    <hyperlink ref="H16" location="'ADU-32'!A1" display="'ADU-32'!A1"/>
    <hyperlink ref="I13" location="'ADU-361'!A1" display="ADU-361"/>
    <hyperlink ref="I18" location="'ADU-37'!A1" display="'ADU-37'!A1"/>
    <hyperlink ref="I19" location="'ADU-38'!A1" display="'ADU-38'!A1"/>
    <hyperlink ref="I22" location="'ADU-39'!A1" display="'ADU-39'!A1"/>
    <hyperlink ref="I23" location="'ADU-40'!A1" display="ADU-40"/>
    <hyperlink ref="C13" location="'ADO-12'!A1" display="ADO-12"/>
    <hyperlink ref="C14" location="'ADO-13'!A1" display="ADO-13"/>
    <hyperlink ref="C15" location="'ADO-14'!A1" display="ADO-14"/>
    <hyperlink ref="C16" location="'ADO-15'!A1" display="ADO-15"/>
    <hyperlink ref="D15" location="'ADU-221'!A1" display="ADU-221"/>
    <hyperlink ref="D16" location="'ADU-222'!A1" display="ADU-222"/>
    <hyperlink ref="F14" location="'ADU-114'!A1" display="ADU-114"/>
    <hyperlink ref="H15" location="'ADU-311'!A1" display="ADU-311"/>
    <hyperlink ref="I14" location="'ADU-362'!A1" display="ADU-362"/>
    <hyperlink ref="I15" location="'ADU-363'!A1" display="ADU-363"/>
    <hyperlink ref="I16" location="'ADU-364'!A1" display="ADU-364"/>
    <hyperlink ref="I17" location="'ADU-365'!A1" display="ADU-365"/>
    <hyperlink ref="I20" location="'ADU-381'!A1" display="ADU-381"/>
    <hyperlink ref="I21" location="'ADU-389'!A1" display="ADU-389"/>
    <hyperlink ref="A18" location="'ADO-1'!A1" display="'ADO-1'!A1"/>
    <hyperlink ref="A19" location="'ADO-2'!A1" display="'ADO-2'!A1"/>
    <hyperlink ref="A20" location="'ADO-3'!A1" display="'ADO-3'!A1"/>
    <hyperlink ref="A21" location="'ADO-4'!A1" display="'ADO-4'!A1"/>
    <hyperlink ref="A22" location="'ADO-5'!A1" display="'ADO-5'!A1"/>
    <hyperlink ref="A23" location="'ADO-6'!A1" display="'ADO-6'!A1"/>
    <hyperlink ref="A24" location="'ADO-7'!A1" display="'ADO-7'!A1"/>
    <hyperlink ref="A25" location="'ADO-8'!A1" display="'ADO-8'!A1"/>
    <hyperlink ref="A26" location="'ADO-9'!A1" display="'ADO-9'!A1"/>
    <hyperlink ref="A27" location="'ADO-10'!A1" display="'ADO-10'!A1"/>
    <hyperlink ref="A28" location="'ADO-11'!A1" display="'ADO-11'!A1"/>
    <hyperlink ref="A29" location="'ADO-12'!A1" display="ADO-12"/>
    <hyperlink ref="A30" location="'ADO-13'!A1" display="ADO-13"/>
    <hyperlink ref="A31" location="'ADO-14'!A1" display="ADO-14"/>
    <hyperlink ref="A32" location="'ADO-15'!A1" display="ADO-15"/>
    <hyperlink ref="B18" location="'ADO-16'!A1" display="ADO-16"/>
    <hyperlink ref="B19" location="'ADO-17'!A1" display="ADO-17"/>
    <hyperlink ref="D27" location="'ADU-110'!A1" display="'ADU-110'!A1"/>
    <hyperlink ref="D28" location="'ADU-111'!A1" display="'ADU-111'!A1"/>
    <hyperlink ref="D29" location="'ADU-112'!A1" display="'ADU-112'!A1"/>
    <hyperlink ref="D30" location="'ADU-113'!A1" display="'ADU-113'!A1"/>
    <hyperlink ref="C18" location="'ADU-1'!A1" display="'ADU-1'!A1"/>
    <hyperlink ref="C19" location="'ADU-2'!A1" display="'ADU-2'!A1"/>
    <hyperlink ref="C22" location="'ADO-3'!A1" display="'ADO-3'!A1"/>
    <hyperlink ref="C27" location="'ADU-5'!A1" display="'ADU-5'!A1"/>
    <hyperlink ref="D20" location="'ADU-6'!A1" display="'ADU-6'!A1"/>
    <hyperlink ref="D21" location="'ADU-61'!A1" display="'ADU-61'!A1"/>
    <hyperlink ref="D23" location="'ADU-7'!A1" display="'ADU-7'!A1"/>
    <hyperlink ref="D24" location="'ADU-8'!A1" display="'ADU-8'!A1"/>
    <hyperlink ref="D25" location="'ADU-9'!A1" display="'ADU-9'!A1"/>
    <hyperlink ref="D26" location="'ADU-10'!A1" display="'ADU-10'!A1"/>
    <hyperlink ref="D32" location="'ADU-12'!A1" display="'ADU-12'!A1"/>
    <hyperlink ref="E22" location="'ADU-13'!A1" display="'ADU-13'!A1"/>
    <hyperlink ref="E24" location="'ADU-14'!A1" display="'ADU-14'!A1"/>
    <hyperlink ref="E25" location="'ADU-15'!A1" display="'ADU-15'!A1"/>
    <hyperlink ref="E27" location="'ADU-16'!A1" display="'ADU-16'!A1"/>
    <hyperlink ref="E28" location="'ADU-17'!A1" display="'ADU-17'!A1"/>
    <hyperlink ref="E29" location="'ADU-18'!A1" display="'ADU-18'!A1"/>
    <hyperlink ref="E30" location="'ADU-19'!A1" display="'ADU-19'!A1"/>
    <hyperlink ref="E31" location="'ADU-20'!A1" display="'ADU-20'!A1"/>
    <hyperlink ref="E32" location="'ADU-21'!A1" display="'ADU-21'!A1"/>
    <hyperlink ref="F18" location="'ADU-22'!A1" display="'ADU-22'!A1"/>
    <hyperlink ref="F19" location="'ADU-23'!A1" display="'ADU-23'!A1"/>
    <hyperlink ref="F20" location="'ADU-24'!A1" display="'ADU-24'!A1"/>
    <hyperlink ref="F21" location="'ADU-25'!A1" display="'ADU-25'!A1"/>
    <hyperlink ref="F22" location="'ADU-26'!A1" display="'ADU-26'!A1"/>
    <hyperlink ref="F24" location="'ADU-27'!A1" display="'ADU-27'!A1"/>
    <hyperlink ref="F25" location="'ADU-28'!A1" display="'ADU-28'!A1"/>
    <hyperlink ref="F26" location="'ADU-29'!A1" display="'ADU-29'!A1"/>
    <hyperlink ref="G18" location="'ADU-30'!A1" display="'ADU-30'!A1"/>
    <hyperlink ref="G19" location="'ADU-31'!A1" display="'ADU-31'!A1"/>
    <hyperlink ref="G21" location="'ADU-32'!A1" display="'ADU-32'!A1"/>
    <hyperlink ref="G22" location="'ADU-33'!A1" display="'ADU-33'!A1"/>
    <hyperlink ref="G26" location="'ADU-34'!A1" display="'ADU-34'!A1"/>
    <hyperlink ref="G28" location="'ADU-35'!A1" display="'ADU-35'!A1"/>
    <hyperlink ref="C20" location="'ADU-221'!A1" display="ADU-221"/>
    <hyperlink ref="C21" location="'ADU-222'!A1" display="ADU-222"/>
    <hyperlink ref="C23" location="'ADU-41'!A1" display="ADU-41"/>
    <hyperlink ref="C24" location="'ADU-42'!A1" display="ADU-42"/>
    <hyperlink ref="C25" location="'ADU-43'!A1" display="ADU-43"/>
    <hyperlink ref="D31" location="'ADU-114'!A1" display="ADU-114"/>
    <hyperlink ref="G20" location="'ADU-311'!A1" display="ADU-311"/>
    <hyperlink ref="G27" location="'ADU-341'!A1" display="ADU-341"/>
    <hyperlink ref="C26" location="'ADU-44'!A1" display="ADU-44"/>
    <hyperlink ref="E23" location="'ADU-131'!A1" display="ADU-131"/>
    <hyperlink ref="F23" location="'ADU-261'!A1" display="ADU-261"/>
    <hyperlink ref="D22" location="'ADU-62'!A1" display="ADU-62"/>
    <hyperlink ref="G23" location="'ADU-331'!A1" display="ADU-331"/>
    <hyperlink ref="G24" location="'ADU-332'!A1" display="ADU-332"/>
    <hyperlink ref="G29" location="'ADU-351'!A1" display="ADU-351"/>
    <hyperlink ref="H18" location="'ADU-361'!A1" display="ADU-361"/>
    <hyperlink ref="H19" location="'ADU-362'!A1" display="ADU-362"/>
    <hyperlink ref="H20" location="'ADU-363'!A1" display="ADU-363"/>
    <hyperlink ref="H21" location="'ADU-364'!A1" display="ADU-364"/>
    <hyperlink ref="H22" location="'ADU-365'!A1" display="ADU-365"/>
    <hyperlink ref="H24" location="'ADU-37'!A1" display="ADU-37"/>
    <hyperlink ref="H25" location="'ADU-371'!A1" display="ADU-371"/>
    <hyperlink ref="H26" location="'ADU-38'!A1" display="ADU-38"/>
    <hyperlink ref="H27" location="'ADU-381'!A1" display="ADU-381"/>
    <hyperlink ref="H28" location="'ADU-389'!A1" display="ADU-389"/>
    <hyperlink ref="H29" location="'ADU-39'!A1" display="ADU-39"/>
    <hyperlink ref="H30" location="'ADU-40'!A1" display="ADU-40"/>
    <hyperlink ref="C28" location="'ADU-51'!A1" display="ADU-51"/>
    <hyperlink ref="C29" location="'ADU-52'!A1" display="ADU-52"/>
    <hyperlink ref="C30" location="'ADU-53'!A1" display="ADU-53"/>
    <hyperlink ref="G25" location="'ADU-333'!A1" display="ADU-333"/>
  </hyperlinks>
  <pageMargins left="0.70866141732283472" right="0.70866141732283472" top="0.74803149606299213" bottom="0.74803149606299213" header="0.31496062992125984" footer="0.31496062992125984"/>
  <pageSetup paperSize="9" scale="95" orientation="landscape"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4"/>
  <sheetViews>
    <sheetView topLeftCell="A7" zoomScaleNormal="100" zoomScaleSheetLayoutView="106" workbookViewId="0">
      <selection activeCell="G12" sqref="G12:M16"/>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9" width="11.42578125" style="37"/>
    <col min="10" max="13" width="0" style="37" hidden="1" customWidth="1"/>
    <col min="14" max="16384" width="11.42578125" style="37"/>
  </cols>
  <sheetData>
    <row r="1" spans="1:13" ht="23.25" customHeight="1" x14ac:dyDescent="0.35">
      <c r="A1" s="11" t="s">
        <v>87</v>
      </c>
      <c r="B1" s="11"/>
      <c r="C1" s="11"/>
      <c r="D1" s="11"/>
      <c r="E1" s="11"/>
    </row>
    <row r="2" spans="1:13" ht="23.25" customHeight="1" x14ac:dyDescent="0.4">
      <c r="A2" s="856" t="s">
        <v>913</v>
      </c>
      <c r="B2" s="856"/>
      <c r="C2" s="856"/>
      <c r="D2" s="856"/>
      <c r="E2" s="856"/>
    </row>
    <row r="3" spans="1:13" ht="23.25" customHeight="1" thickBot="1" x14ac:dyDescent="0.45">
      <c r="A3" s="358"/>
      <c r="B3" s="358"/>
      <c r="C3" s="358"/>
      <c r="D3" s="358"/>
      <c r="E3" s="358"/>
    </row>
    <row r="4" spans="1:13" ht="23.25" customHeight="1" thickBot="1" x14ac:dyDescent="0.3">
      <c r="A4" s="12"/>
      <c r="B4" s="233" t="s">
        <v>469</v>
      </c>
      <c r="C4" s="851" t="s">
        <v>40</v>
      </c>
      <c r="D4" s="852"/>
      <c r="E4" s="174" t="s">
        <v>682</v>
      </c>
      <c r="G4" s="848" t="s">
        <v>914</v>
      </c>
      <c r="H4" s="848"/>
      <c r="I4" s="848"/>
    </row>
    <row r="5" spans="1:13" ht="23.25" customHeight="1" x14ac:dyDescent="0.25">
      <c r="A5" s="381" t="s">
        <v>651</v>
      </c>
      <c r="B5" s="382" t="s">
        <v>50</v>
      </c>
      <c r="C5" s="820" t="s">
        <v>18</v>
      </c>
      <c r="D5" s="820"/>
      <c r="E5" s="232" t="s">
        <v>20</v>
      </c>
      <c r="G5" s="848" t="s">
        <v>915</v>
      </c>
      <c r="H5" s="848"/>
      <c r="I5" s="848"/>
    </row>
    <row r="6" spans="1:13" ht="23.25" customHeight="1" thickBot="1" x14ac:dyDescent="0.3">
      <c r="A6" s="379" t="s">
        <v>660</v>
      </c>
      <c r="B6" s="380" t="s">
        <v>658</v>
      </c>
      <c r="C6" s="16"/>
      <c r="D6" s="16"/>
      <c r="E6" s="16"/>
      <c r="G6" s="850" t="s">
        <v>916</v>
      </c>
      <c r="H6" s="850"/>
      <c r="I6" s="850"/>
      <c r="J6" s="37">
        <v>1.06</v>
      </c>
      <c r="K6" s="37">
        <v>2.1800000000000002</v>
      </c>
      <c r="L6" s="37">
        <v>1</v>
      </c>
      <c r="M6" s="37">
        <f>L6*K6*J6</f>
        <v>2.3108000000000004</v>
      </c>
    </row>
    <row r="7" spans="1:13" ht="24" customHeight="1" thickBot="1" x14ac:dyDescent="0.3">
      <c r="A7" s="207" t="s">
        <v>1</v>
      </c>
      <c r="B7" s="851" t="s">
        <v>46</v>
      </c>
      <c r="C7" s="891"/>
      <c r="D7" s="891"/>
      <c r="E7" s="852"/>
      <c r="J7" s="37">
        <v>1.0649999999999999</v>
      </c>
      <c r="K7" s="37">
        <v>2.19</v>
      </c>
      <c r="L7" s="37">
        <v>1</v>
      </c>
      <c r="M7" s="37">
        <f>L7*K7*J7</f>
        <v>2.3323499999999999</v>
      </c>
    </row>
    <row r="8" spans="1:13" ht="24" customHeight="1" thickBot="1" x14ac:dyDescent="0.3">
      <c r="A8" s="207" t="s">
        <v>0</v>
      </c>
      <c r="B8" s="857" t="s">
        <v>683</v>
      </c>
      <c r="C8" s="857"/>
      <c r="D8" s="857"/>
      <c r="E8" s="857"/>
    </row>
    <row r="9" spans="1:13" ht="87.75" customHeight="1" x14ac:dyDescent="0.25">
      <c r="A9" s="214" t="s">
        <v>2</v>
      </c>
      <c r="B9" s="854" t="s">
        <v>945</v>
      </c>
      <c r="C9" s="855"/>
      <c r="D9" s="855"/>
      <c r="E9" s="855"/>
    </row>
    <row r="10" spans="1:13" ht="54" customHeight="1" x14ac:dyDescent="0.25">
      <c r="A10" s="214" t="s">
        <v>31</v>
      </c>
      <c r="B10" s="854"/>
      <c r="C10" s="855"/>
      <c r="D10" s="855"/>
      <c r="E10" s="855"/>
    </row>
    <row r="11" spans="1:13" ht="30" customHeight="1" x14ac:dyDescent="0.25">
      <c r="A11" s="215" t="s">
        <v>16</v>
      </c>
      <c r="B11" s="858" t="s">
        <v>86</v>
      </c>
      <c r="C11" s="858"/>
      <c r="D11" s="858"/>
      <c r="E11" s="858"/>
    </row>
    <row r="12" spans="1:13" ht="30" customHeight="1" x14ac:dyDescent="0.25">
      <c r="A12" s="215" t="s">
        <v>3</v>
      </c>
      <c r="B12" s="858"/>
      <c r="C12" s="858"/>
      <c r="D12" s="858"/>
      <c r="E12" s="858"/>
      <c r="G12" s="37" t="s">
        <v>977</v>
      </c>
    </row>
    <row r="13" spans="1:13" ht="30" customHeight="1" x14ac:dyDescent="0.25">
      <c r="A13" s="215" t="s">
        <v>17</v>
      </c>
      <c r="B13" s="858"/>
      <c r="C13" s="858"/>
      <c r="D13" s="858"/>
      <c r="E13" s="858"/>
      <c r="G13" s="892" t="s">
        <v>981</v>
      </c>
      <c r="H13" s="892"/>
      <c r="I13" s="892"/>
      <c r="J13" s="892"/>
      <c r="K13" s="892"/>
      <c r="L13" s="892"/>
      <c r="M13" s="892"/>
    </row>
    <row r="14" spans="1:13" ht="30" customHeight="1" x14ac:dyDescent="0.25">
      <c r="A14" s="215" t="s">
        <v>4</v>
      </c>
      <c r="B14" s="858">
        <v>2016</v>
      </c>
      <c r="C14" s="858"/>
      <c r="D14" s="858"/>
      <c r="E14" s="858"/>
      <c r="G14" s="37" t="s">
        <v>979</v>
      </c>
    </row>
    <row r="15" spans="1:13" ht="30" customHeight="1" x14ac:dyDescent="0.25">
      <c r="A15" s="215" t="s">
        <v>5</v>
      </c>
      <c r="B15" s="858">
        <v>2020</v>
      </c>
      <c r="C15" s="858"/>
      <c r="D15" s="858"/>
      <c r="E15" s="858"/>
      <c r="G15" s="893"/>
      <c r="H15" s="894"/>
      <c r="I15" s="894"/>
      <c r="J15" s="894"/>
      <c r="K15" s="894"/>
      <c r="L15" s="894"/>
      <c r="M15" s="895"/>
    </row>
    <row r="16" spans="1:13" ht="30" customHeight="1" x14ac:dyDescent="0.25">
      <c r="A16" s="215" t="s">
        <v>6</v>
      </c>
      <c r="B16" s="859">
        <v>2000</v>
      </c>
      <c r="C16" s="859"/>
      <c r="D16" s="859"/>
      <c r="E16" s="859"/>
      <c r="G16" s="896"/>
      <c r="H16" s="897"/>
      <c r="I16" s="897"/>
      <c r="J16" s="897"/>
      <c r="K16" s="897"/>
      <c r="L16" s="897"/>
      <c r="M16" s="898"/>
    </row>
    <row r="17" spans="1:9" ht="30" customHeight="1" x14ac:dyDescent="0.25">
      <c r="A17" s="215" t="s">
        <v>7</v>
      </c>
      <c r="B17" s="859">
        <v>0</v>
      </c>
      <c r="C17" s="859"/>
      <c r="D17" s="859"/>
      <c r="E17" s="859"/>
    </row>
    <row r="18" spans="1:9" ht="30" customHeight="1" x14ac:dyDescent="0.25">
      <c r="A18" s="210" t="s">
        <v>468</v>
      </c>
      <c r="B18" s="841">
        <v>100000</v>
      </c>
      <c r="C18" s="842"/>
      <c r="D18" s="842"/>
      <c r="E18" s="842"/>
      <c r="G18" s="2"/>
      <c r="H18" s="2"/>
    </row>
    <row r="19" spans="1:9" ht="30" customHeight="1" x14ac:dyDescent="0.25">
      <c r="A19" s="238" t="s">
        <v>467</v>
      </c>
      <c r="B19" s="843"/>
      <c r="C19" s="844"/>
      <c r="D19" s="844"/>
      <c r="E19" s="844"/>
      <c r="G19" s="2"/>
      <c r="H19" s="2"/>
    </row>
    <row r="20" spans="1:9" ht="30" customHeight="1" x14ac:dyDescent="0.25">
      <c r="A20" s="215" t="s">
        <v>8</v>
      </c>
      <c r="B20" s="845">
        <v>1</v>
      </c>
      <c r="C20" s="845"/>
      <c r="D20" s="845"/>
      <c r="E20" s="845"/>
    </row>
    <row r="21" spans="1:9" ht="30" customHeight="1" x14ac:dyDescent="0.25">
      <c r="A21" s="215" t="s">
        <v>9</v>
      </c>
      <c r="B21" s="845"/>
      <c r="C21" s="845"/>
      <c r="D21" s="845"/>
      <c r="E21" s="845"/>
    </row>
    <row r="22" spans="1:9" ht="30" customHeight="1" x14ac:dyDescent="0.25">
      <c r="A22" s="215" t="s">
        <v>465</v>
      </c>
      <c r="B22" s="846">
        <f>B16/(B20+B21)</f>
        <v>2000</v>
      </c>
      <c r="C22" s="846"/>
      <c r="D22" s="846"/>
      <c r="E22" s="846"/>
    </row>
    <row r="23" spans="1:9" ht="30" customHeight="1" x14ac:dyDescent="0.25">
      <c r="A23" s="215" t="s">
        <v>466</v>
      </c>
      <c r="B23" s="847">
        <f>(B16-B17)/(B20+B21)</f>
        <v>2000</v>
      </c>
      <c r="C23" s="847"/>
      <c r="D23" s="847"/>
      <c r="E23" s="847"/>
    </row>
    <row r="24" spans="1:9" ht="30" customHeight="1" x14ac:dyDescent="0.25">
      <c r="A24" s="216" t="s">
        <v>476</v>
      </c>
      <c r="B24" s="849">
        <f>B18/2*G24/1000+B18/2*H24/1000</f>
        <v>18.899999999999999</v>
      </c>
      <c r="C24" s="849"/>
      <c r="D24" s="849"/>
      <c r="E24" s="849"/>
      <c r="G24" s="37">
        <v>0.26100000000000001</v>
      </c>
      <c r="H24" s="37">
        <v>0.11700000000000001</v>
      </c>
    </row>
    <row r="25" spans="1:9" ht="30" customHeight="1" x14ac:dyDescent="0.25">
      <c r="A25" s="217" t="s">
        <v>463</v>
      </c>
      <c r="B25" s="840">
        <f>B24/'Objectifs CO2'!C15</f>
        <v>1.3693718253750375E-2</v>
      </c>
      <c r="C25" s="840"/>
      <c r="D25" s="840"/>
      <c r="E25" s="840"/>
    </row>
    <row r="26" spans="1:9" ht="30" customHeight="1" x14ac:dyDescent="0.25">
      <c r="A26" s="218" t="s">
        <v>464</v>
      </c>
      <c r="B26" s="840">
        <f>B24/'Objectifs CO2'!C8</f>
        <v>2.738743650750075E-3</v>
      </c>
      <c r="C26" s="840"/>
      <c r="D26" s="840"/>
      <c r="E26" s="840"/>
    </row>
    <row r="27" spans="1:9" ht="30" customHeight="1" x14ac:dyDescent="0.25">
      <c r="A27" s="218" t="s">
        <v>24</v>
      </c>
      <c r="B27" s="853"/>
      <c r="C27" s="853"/>
      <c r="D27" s="853"/>
      <c r="E27" s="853"/>
    </row>
    <row r="28" spans="1:9" ht="30" customHeight="1" x14ac:dyDescent="0.25">
      <c r="A28" s="213" t="s">
        <v>418</v>
      </c>
      <c r="B28" s="853"/>
      <c r="C28" s="853"/>
      <c r="D28" s="853"/>
      <c r="E28" s="853"/>
    </row>
    <row r="30" spans="1:9" ht="23.25" customHeight="1" x14ac:dyDescent="0.25">
      <c r="B30" s="867" t="s">
        <v>530</v>
      </c>
      <c r="C30" s="867"/>
      <c r="D30" s="867"/>
      <c r="E30" s="143" t="s">
        <v>538</v>
      </c>
    </row>
    <row r="31" spans="1:9" ht="23.25" customHeight="1" x14ac:dyDescent="0.25">
      <c r="B31" s="864" t="s">
        <v>521</v>
      </c>
      <c r="C31" s="864"/>
      <c r="D31" s="864"/>
      <c r="E31" s="114"/>
      <c r="G31" s="866" t="s">
        <v>538</v>
      </c>
      <c r="H31" s="866"/>
      <c r="I31" s="866"/>
    </row>
    <row r="32" spans="1:9" ht="23.25" customHeight="1" x14ac:dyDescent="0.25">
      <c r="B32" s="864" t="s">
        <v>522</v>
      </c>
      <c r="C32" s="864"/>
      <c r="D32" s="864"/>
      <c r="E32" s="114"/>
      <c r="G32" s="252">
        <v>3</v>
      </c>
      <c r="H32" s="866" t="s">
        <v>535</v>
      </c>
      <c r="I32" s="866"/>
    </row>
    <row r="33" spans="2:9" ht="23.25" customHeight="1" x14ac:dyDescent="0.25">
      <c r="B33" s="864" t="s">
        <v>524</v>
      </c>
      <c r="C33" s="864"/>
      <c r="D33" s="864"/>
      <c r="E33" s="114"/>
      <c r="G33" s="252">
        <v>2</v>
      </c>
      <c r="H33" s="866" t="s">
        <v>536</v>
      </c>
      <c r="I33" s="866"/>
    </row>
    <row r="34" spans="2:9" ht="23.25" customHeight="1" x14ac:dyDescent="0.25">
      <c r="B34" s="864" t="s">
        <v>523</v>
      </c>
      <c r="C34" s="864"/>
      <c r="D34" s="864"/>
      <c r="E34" s="114"/>
      <c r="G34" s="252">
        <v>1</v>
      </c>
      <c r="H34" s="866" t="s">
        <v>537</v>
      </c>
      <c r="I34" s="866"/>
    </row>
    <row r="35" spans="2:9" ht="23.25" customHeight="1" x14ac:dyDescent="0.25">
      <c r="B35" s="864" t="s">
        <v>525</v>
      </c>
      <c r="C35" s="864"/>
      <c r="D35" s="864"/>
      <c r="E35" s="114"/>
    </row>
    <row r="36" spans="2:9" ht="23.25" customHeight="1" x14ac:dyDescent="0.25">
      <c r="B36" s="864" t="s">
        <v>526</v>
      </c>
      <c r="C36" s="864"/>
      <c r="D36" s="864"/>
      <c r="E36" s="114"/>
    </row>
    <row r="37" spans="2:9" ht="23.25" customHeight="1" x14ac:dyDescent="0.25">
      <c r="B37" s="864" t="s">
        <v>527</v>
      </c>
      <c r="C37" s="864"/>
      <c r="D37" s="864"/>
      <c r="E37" s="114"/>
    </row>
    <row r="38" spans="2:9" ht="23.25" customHeight="1" x14ac:dyDescent="0.25">
      <c r="B38" s="864" t="s">
        <v>528</v>
      </c>
      <c r="C38" s="864"/>
      <c r="D38" s="864"/>
      <c r="E38" s="114"/>
    </row>
    <row r="39" spans="2:9" ht="23.25" customHeight="1" x14ac:dyDescent="0.25">
      <c r="B39" s="864" t="s">
        <v>529</v>
      </c>
      <c r="C39" s="864"/>
      <c r="D39" s="864"/>
      <c r="E39" s="114"/>
      <c r="G39" s="863" t="s">
        <v>541</v>
      </c>
      <c r="H39" s="863"/>
      <c r="I39" s="863"/>
    </row>
    <row r="40" spans="2:9" ht="23.25" customHeight="1" x14ac:dyDescent="0.25">
      <c r="B40" s="865" t="s">
        <v>395</v>
      </c>
      <c r="C40" s="865"/>
      <c r="D40" s="865"/>
      <c r="E40" s="258">
        <f>SUM(E31:E39)</f>
        <v>0</v>
      </c>
      <c r="G40" s="254" t="s">
        <v>542</v>
      </c>
      <c r="H40" s="257" t="s">
        <v>543</v>
      </c>
      <c r="I40" s="254" t="s">
        <v>544</v>
      </c>
    </row>
    <row r="41" spans="2:9" ht="23.25" customHeight="1" x14ac:dyDescent="0.25">
      <c r="E41" s="202" t="s">
        <v>663</v>
      </c>
      <c r="G41" s="254" t="s">
        <v>545</v>
      </c>
      <c r="H41" s="254" t="s">
        <v>547</v>
      </c>
      <c r="I41" s="254" t="s">
        <v>546</v>
      </c>
    </row>
    <row r="43" spans="2:9" ht="23.25" customHeight="1" x14ac:dyDescent="0.25">
      <c r="B43" s="860" t="s">
        <v>520</v>
      </c>
      <c r="C43" s="861"/>
      <c r="D43" s="862"/>
      <c r="E43" s="251">
        <v>1</v>
      </c>
      <c r="G43" s="254">
        <v>1</v>
      </c>
      <c r="H43" s="254" t="s">
        <v>539</v>
      </c>
    </row>
    <row r="44" spans="2:9" ht="23.25" customHeight="1" x14ac:dyDescent="0.25">
      <c r="G44" s="254">
        <v>0</v>
      </c>
      <c r="H44" s="254" t="s">
        <v>540</v>
      </c>
    </row>
  </sheetData>
  <mergeCells count="47">
    <mergeCell ref="G13:M13"/>
    <mergeCell ref="G15:M16"/>
    <mergeCell ref="B43:D43"/>
    <mergeCell ref="B33:D33"/>
    <mergeCell ref="H33:I33"/>
    <mergeCell ref="B34:D34"/>
    <mergeCell ref="H34:I34"/>
    <mergeCell ref="B35:D35"/>
    <mergeCell ref="B36:D36"/>
    <mergeCell ref="B37:D37"/>
    <mergeCell ref="B38:D38"/>
    <mergeCell ref="B39:D39"/>
    <mergeCell ref="G39:I39"/>
    <mergeCell ref="B40:D40"/>
    <mergeCell ref="B32:D32"/>
    <mergeCell ref="H32:I32"/>
    <mergeCell ref="B30:D30"/>
    <mergeCell ref="B31:D31"/>
    <mergeCell ref="B21:E21"/>
    <mergeCell ref="B22:E22"/>
    <mergeCell ref="B23:E23"/>
    <mergeCell ref="B24:E24"/>
    <mergeCell ref="B25:E25"/>
    <mergeCell ref="G31:I31"/>
    <mergeCell ref="B20:E20"/>
    <mergeCell ref="B9:E9"/>
    <mergeCell ref="B10:E10"/>
    <mergeCell ref="B11:E11"/>
    <mergeCell ref="B12:E12"/>
    <mergeCell ref="B13:E13"/>
    <mergeCell ref="B14:E14"/>
    <mergeCell ref="B15:E15"/>
    <mergeCell ref="B16:E16"/>
    <mergeCell ref="B17:E17"/>
    <mergeCell ref="B18:E18"/>
    <mergeCell ref="B19:E19"/>
    <mergeCell ref="B26:E26"/>
    <mergeCell ref="B27:E27"/>
    <mergeCell ref="B28:E28"/>
    <mergeCell ref="B8:E8"/>
    <mergeCell ref="G6:I6"/>
    <mergeCell ref="A2:E2"/>
    <mergeCell ref="G4:I4"/>
    <mergeCell ref="C5:D5"/>
    <mergeCell ref="G5:I5"/>
    <mergeCell ref="B7:E7"/>
    <mergeCell ref="C4:D4"/>
  </mergeCells>
  <conditionalFormatting sqref="E5">
    <cfRule type="containsText" dxfId="224" priority="1" operator="containsText" text="Terminé">
      <formula>NOT(ISERROR(SEARCH("Terminé",E5)))</formula>
    </cfRule>
    <cfRule type="containsText" dxfId="223" priority="2" operator="containsText" text="En cours">
      <formula>NOT(ISERROR(SEARCH("En cours",E5)))</formula>
    </cfRule>
    <cfRule type="containsText" dxfId="222"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ESUME CRITERES"/>
    <hyperlink ref="G6" location="CALENDRIER!A1" display="Lien vers CALENDRIER"/>
  </hyperlinks>
  <pageMargins left="0.7" right="0.7" top="0.75" bottom="0.75" header="0.3" footer="0.3"/>
  <pageSetup paperSize="9" scale="88" orientation="portrait" r:id="rId1"/>
  <colBreaks count="1" manualBreakCount="1">
    <brk id="5"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4"/>
  <sheetViews>
    <sheetView zoomScaleNormal="100" zoomScaleSheetLayoutView="98" workbookViewId="0">
      <selection activeCell="N10" sqref="N10"/>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9" width="11.42578125" style="37"/>
    <col min="10" max="13" width="0" style="37" hidden="1" customWidth="1"/>
    <col min="14" max="16384" width="11.42578125" style="37"/>
  </cols>
  <sheetData>
    <row r="1" spans="1:13" ht="23.25" customHeight="1" x14ac:dyDescent="0.35">
      <c r="A1" s="11" t="s">
        <v>87</v>
      </c>
      <c r="B1" s="11"/>
      <c r="C1" s="11"/>
      <c r="D1" s="11"/>
      <c r="E1" s="11"/>
    </row>
    <row r="2" spans="1:13" ht="23.25" customHeight="1" x14ac:dyDescent="0.4">
      <c r="A2" s="856" t="s">
        <v>913</v>
      </c>
      <c r="B2" s="856"/>
      <c r="C2" s="856"/>
      <c r="D2" s="856"/>
      <c r="E2" s="856"/>
    </row>
    <row r="3" spans="1:13" ht="23.25" customHeight="1" thickBot="1" x14ac:dyDescent="0.45">
      <c r="A3" s="358"/>
      <c r="B3" s="358"/>
      <c r="C3" s="358"/>
      <c r="D3" s="358"/>
      <c r="E3" s="358"/>
    </row>
    <row r="4" spans="1:13" ht="23.25" customHeight="1" thickBot="1" x14ac:dyDescent="0.3">
      <c r="A4" s="12"/>
      <c r="B4" s="233" t="s">
        <v>469</v>
      </c>
      <c r="C4" s="851" t="s">
        <v>40</v>
      </c>
      <c r="D4" s="852"/>
      <c r="E4" s="174" t="s">
        <v>684</v>
      </c>
      <c r="G4" s="848" t="s">
        <v>914</v>
      </c>
      <c r="H4" s="848"/>
      <c r="I4" s="848"/>
    </row>
    <row r="5" spans="1:13" ht="23.25" customHeight="1" x14ac:dyDescent="0.25">
      <c r="A5" s="381" t="s">
        <v>651</v>
      </c>
      <c r="B5" s="382" t="s">
        <v>50</v>
      </c>
      <c r="C5" s="820" t="s">
        <v>18</v>
      </c>
      <c r="D5" s="820"/>
      <c r="E5" s="232" t="s">
        <v>20</v>
      </c>
      <c r="G5" s="848" t="s">
        <v>915</v>
      </c>
      <c r="H5" s="848"/>
      <c r="I5" s="848"/>
    </row>
    <row r="6" spans="1:13" ht="23.25" customHeight="1" thickBot="1" x14ac:dyDescent="0.3">
      <c r="A6" s="379" t="s">
        <v>660</v>
      </c>
      <c r="B6" s="380" t="s">
        <v>658</v>
      </c>
      <c r="C6" s="16"/>
      <c r="D6" s="16"/>
      <c r="E6" s="16"/>
      <c r="G6" s="850" t="s">
        <v>916</v>
      </c>
      <c r="H6" s="850"/>
      <c r="I6" s="850"/>
      <c r="J6" s="37">
        <v>1.06</v>
      </c>
      <c r="K6" s="37">
        <v>2.1800000000000002</v>
      </c>
      <c r="L6" s="37">
        <v>1</v>
      </c>
      <c r="M6" s="37">
        <f>L6*K6*J6</f>
        <v>2.3108000000000004</v>
      </c>
    </row>
    <row r="7" spans="1:13" ht="24" customHeight="1" thickBot="1" x14ac:dyDescent="0.3">
      <c r="A7" s="207" t="s">
        <v>1</v>
      </c>
      <c r="B7" s="851" t="s">
        <v>685</v>
      </c>
      <c r="C7" s="891"/>
      <c r="D7" s="891"/>
      <c r="E7" s="852"/>
      <c r="J7" s="37">
        <v>1.0649999999999999</v>
      </c>
      <c r="K7" s="37">
        <v>2.19</v>
      </c>
      <c r="L7" s="37">
        <v>1</v>
      </c>
      <c r="M7" s="37">
        <f>L7*K7*J7</f>
        <v>2.3323499999999999</v>
      </c>
    </row>
    <row r="8" spans="1:13" ht="24" customHeight="1" thickBot="1" x14ac:dyDescent="0.3">
      <c r="A8" s="207" t="s">
        <v>0</v>
      </c>
      <c r="B8" s="857" t="s">
        <v>687</v>
      </c>
      <c r="C8" s="857"/>
      <c r="D8" s="857"/>
      <c r="E8" s="857"/>
    </row>
    <row r="9" spans="1:13" ht="105.75" customHeight="1" x14ac:dyDescent="0.25">
      <c r="A9" s="214" t="s">
        <v>2</v>
      </c>
      <c r="B9" s="854" t="s">
        <v>760</v>
      </c>
      <c r="C9" s="855"/>
      <c r="D9" s="855"/>
      <c r="E9" s="855"/>
    </row>
    <row r="10" spans="1:13" ht="54" customHeight="1" x14ac:dyDescent="0.25">
      <c r="A10" s="214" t="s">
        <v>31</v>
      </c>
      <c r="B10" s="854" t="s">
        <v>691</v>
      </c>
      <c r="C10" s="855"/>
      <c r="D10" s="855"/>
      <c r="E10" s="855"/>
    </row>
    <row r="11" spans="1:13" ht="30" customHeight="1" x14ac:dyDescent="0.25">
      <c r="A11" s="215" t="s">
        <v>16</v>
      </c>
      <c r="B11" s="858" t="s">
        <v>86</v>
      </c>
      <c r="C11" s="858"/>
      <c r="D11" s="858"/>
      <c r="E11" s="858"/>
    </row>
    <row r="12" spans="1:13" ht="30" customHeight="1" x14ac:dyDescent="0.25">
      <c r="A12" s="215" t="s">
        <v>3</v>
      </c>
      <c r="B12" s="858"/>
      <c r="C12" s="858"/>
      <c r="D12" s="858"/>
      <c r="E12" s="858"/>
      <c r="G12" s="37" t="s">
        <v>977</v>
      </c>
    </row>
    <row r="13" spans="1:13" ht="30" customHeight="1" x14ac:dyDescent="0.25">
      <c r="A13" s="215" t="s">
        <v>17</v>
      </c>
      <c r="B13" s="858"/>
      <c r="C13" s="858"/>
      <c r="D13" s="858"/>
      <c r="E13" s="858"/>
      <c r="G13" s="899" t="s">
        <v>982</v>
      </c>
      <c r="H13" s="899"/>
      <c r="I13" s="899"/>
      <c r="J13" s="899"/>
      <c r="K13" s="899"/>
      <c r="L13" s="899"/>
      <c r="M13" s="899"/>
    </row>
    <row r="14" spans="1:13" ht="30" customHeight="1" x14ac:dyDescent="0.25">
      <c r="A14" s="215" t="s">
        <v>4</v>
      </c>
      <c r="B14" s="858">
        <v>2016</v>
      </c>
      <c r="C14" s="858"/>
      <c r="D14" s="858"/>
      <c r="E14" s="858"/>
      <c r="G14" s="900"/>
      <c r="H14" s="900"/>
      <c r="I14" s="900"/>
      <c r="J14" s="900"/>
      <c r="K14" s="900"/>
      <c r="L14" s="900"/>
      <c r="M14" s="900"/>
    </row>
    <row r="15" spans="1:13" ht="30" customHeight="1" x14ac:dyDescent="0.25">
      <c r="A15" s="215" t="s">
        <v>5</v>
      </c>
      <c r="B15" s="858">
        <v>2020</v>
      </c>
      <c r="C15" s="858"/>
      <c r="D15" s="858"/>
      <c r="E15" s="858"/>
      <c r="G15" s="900"/>
      <c r="H15" s="900"/>
      <c r="I15" s="900"/>
      <c r="J15" s="900"/>
      <c r="K15" s="900"/>
      <c r="L15" s="900"/>
      <c r="M15" s="900"/>
    </row>
    <row r="16" spans="1:13" ht="30" customHeight="1" x14ac:dyDescent="0.25">
      <c r="A16" s="215" t="s">
        <v>6</v>
      </c>
      <c r="B16" s="859">
        <v>2000</v>
      </c>
      <c r="C16" s="859"/>
      <c r="D16" s="859"/>
      <c r="E16" s="859"/>
      <c r="G16" s="37" t="s">
        <v>979</v>
      </c>
    </row>
    <row r="17" spans="1:13" ht="30" customHeight="1" x14ac:dyDescent="0.25">
      <c r="A17" s="215" t="s">
        <v>7</v>
      </c>
      <c r="B17" s="859">
        <v>0</v>
      </c>
      <c r="C17" s="859"/>
      <c r="D17" s="859"/>
      <c r="E17" s="859"/>
      <c r="G17" s="893"/>
      <c r="H17" s="894"/>
      <c r="I17" s="894"/>
      <c r="J17" s="894"/>
      <c r="K17" s="894"/>
      <c r="L17" s="894"/>
      <c r="M17" s="895"/>
    </row>
    <row r="18" spans="1:13" ht="30" customHeight="1" x14ac:dyDescent="0.25">
      <c r="A18" s="210" t="s">
        <v>468</v>
      </c>
      <c r="B18" s="841">
        <v>200000</v>
      </c>
      <c r="C18" s="842"/>
      <c r="D18" s="842"/>
      <c r="E18" s="842"/>
      <c r="G18" s="896"/>
      <c r="H18" s="897"/>
      <c r="I18" s="897"/>
      <c r="J18" s="897"/>
      <c r="K18" s="897"/>
      <c r="L18" s="897"/>
      <c r="M18" s="898"/>
    </row>
    <row r="19" spans="1:13" ht="30" customHeight="1" x14ac:dyDescent="0.25">
      <c r="A19" s="238" t="s">
        <v>467</v>
      </c>
      <c r="B19" s="843"/>
      <c r="C19" s="844"/>
      <c r="D19" s="844"/>
      <c r="E19" s="844"/>
      <c r="G19" s="2"/>
      <c r="H19" s="2"/>
    </row>
    <row r="20" spans="1:13" ht="30" customHeight="1" x14ac:dyDescent="0.25">
      <c r="A20" s="215" t="s">
        <v>8</v>
      </c>
      <c r="B20" s="845">
        <v>1</v>
      </c>
      <c r="C20" s="845"/>
      <c r="D20" s="845"/>
      <c r="E20" s="845"/>
    </row>
    <row r="21" spans="1:13" ht="30" customHeight="1" x14ac:dyDescent="0.25">
      <c r="A21" s="215" t="s">
        <v>9</v>
      </c>
      <c r="B21" s="845"/>
      <c r="C21" s="845"/>
      <c r="D21" s="845"/>
      <c r="E21" s="845"/>
    </row>
    <row r="22" spans="1:13" ht="30" customHeight="1" x14ac:dyDescent="0.25">
      <c r="A22" s="215" t="s">
        <v>465</v>
      </c>
      <c r="B22" s="846">
        <f>B16/(B20+B21)</f>
        <v>2000</v>
      </c>
      <c r="C22" s="846"/>
      <c r="D22" s="846"/>
      <c r="E22" s="846"/>
    </row>
    <row r="23" spans="1:13" ht="30" customHeight="1" x14ac:dyDescent="0.25">
      <c r="A23" s="215" t="s">
        <v>466</v>
      </c>
      <c r="B23" s="847">
        <f>(B16-B17)/(B20+B21)</f>
        <v>2000</v>
      </c>
      <c r="C23" s="847"/>
      <c r="D23" s="847"/>
      <c r="E23" s="847"/>
    </row>
    <row r="24" spans="1:13" ht="30" customHeight="1" x14ac:dyDescent="0.25">
      <c r="A24" s="216" t="s">
        <v>476</v>
      </c>
      <c r="B24" s="849">
        <f>B18*F24/1000</f>
        <v>52.2</v>
      </c>
      <c r="C24" s="849"/>
      <c r="D24" s="849"/>
      <c r="E24" s="849"/>
      <c r="F24" s="37">
        <v>0.26100000000000001</v>
      </c>
    </row>
    <row r="25" spans="1:13" ht="30" customHeight="1" x14ac:dyDescent="0.25">
      <c r="A25" s="217" t="s">
        <v>463</v>
      </c>
      <c r="B25" s="840">
        <f>B24/'Objectifs CO2'!C15</f>
        <v>3.7820745653215325E-2</v>
      </c>
      <c r="C25" s="840"/>
      <c r="D25" s="840"/>
      <c r="E25" s="840"/>
    </row>
    <row r="26" spans="1:13" ht="30" customHeight="1" x14ac:dyDescent="0.25">
      <c r="A26" s="218" t="s">
        <v>464</v>
      </c>
      <c r="B26" s="840">
        <f>B24/'Objectifs CO2'!C8</f>
        <v>7.5641491306430659E-3</v>
      </c>
      <c r="C26" s="840"/>
      <c r="D26" s="840"/>
      <c r="E26" s="840"/>
    </row>
    <row r="27" spans="1:13" ht="30" customHeight="1" x14ac:dyDescent="0.25">
      <c r="A27" s="218" t="s">
        <v>24</v>
      </c>
      <c r="B27" s="853"/>
      <c r="C27" s="853"/>
      <c r="D27" s="853"/>
      <c r="E27" s="853"/>
    </row>
    <row r="28" spans="1:13" ht="30" customHeight="1" x14ac:dyDescent="0.25">
      <c r="A28" s="213" t="s">
        <v>418</v>
      </c>
      <c r="B28" s="853"/>
      <c r="C28" s="853"/>
      <c r="D28" s="853"/>
      <c r="E28" s="853"/>
    </row>
    <row r="30" spans="1:13" ht="23.25" customHeight="1" x14ac:dyDescent="0.25">
      <c r="B30" s="867" t="s">
        <v>530</v>
      </c>
      <c r="C30" s="867"/>
      <c r="D30" s="867"/>
      <c r="E30" s="143" t="s">
        <v>538</v>
      </c>
    </row>
    <row r="31" spans="1:13" ht="23.25" customHeight="1" x14ac:dyDescent="0.25">
      <c r="B31" s="864" t="s">
        <v>521</v>
      </c>
      <c r="C31" s="864"/>
      <c r="D31" s="864"/>
      <c r="E31" s="114"/>
      <c r="G31" s="866" t="s">
        <v>538</v>
      </c>
      <c r="H31" s="866"/>
      <c r="I31" s="866"/>
    </row>
    <row r="32" spans="1:13" ht="23.25" customHeight="1" x14ac:dyDescent="0.25">
      <c r="B32" s="864" t="s">
        <v>522</v>
      </c>
      <c r="C32" s="864"/>
      <c r="D32" s="864"/>
      <c r="E32" s="114"/>
      <c r="G32" s="252">
        <v>3</v>
      </c>
      <c r="H32" s="866" t="s">
        <v>535</v>
      </c>
      <c r="I32" s="866"/>
    </row>
    <row r="33" spans="2:9" ht="23.25" customHeight="1" x14ac:dyDescent="0.25">
      <c r="B33" s="864" t="s">
        <v>524</v>
      </c>
      <c r="C33" s="864"/>
      <c r="D33" s="864"/>
      <c r="E33" s="114"/>
      <c r="G33" s="252">
        <v>2</v>
      </c>
      <c r="H33" s="866" t="s">
        <v>536</v>
      </c>
      <c r="I33" s="866"/>
    </row>
    <row r="34" spans="2:9" ht="23.25" customHeight="1" x14ac:dyDescent="0.25">
      <c r="B34" s="864" t="s">
        <v>523</v>
      </c>
      <c r="C34" s="864"/>
      <c r="D34" s="864"/>
      <c r="E34" s="114"/>
      <c r="G34" s="252">
        <v>1</v>
      </c>
      <c r="H34" s="866" t="s">
        <v>537</v>
      </c>
      <c r="I34" s="866"/>
    </row>
    <row r="35" spans="2:9" ht="23.25" customHeight="1" x14ac:dyDescent="0.25">
      <c r="B35" s="864" t="s">
        <v>525</v>
      </c>
      <c r="C35" s="864"/>
      <c r="D35" s="864"/>
      <c r="E35" s="114"/>
    </row>
    <row r="36" spans="2:9" ht="23.25" customHeight="1" x14ac:dyDescent="0.25">
      <c r="B36" s="864" t="s">
        <v>526</v>
      </c>
      <c r="C36" s="864"/>
      <c r="D36" s="864"/>
      <c r="E36" s="114"/>
    </row>
    <row r="37" spans="2:9" ht="23.25" customHeight="1" x14ac:dyDescent="0.25">
      <c r="B37" s="864" t="s">
        <v>527</v>
      </c>
      <c r="C37" s="864"/>
      <c r="D37" s="864"/>
      <c r="E37" s="114"/>
    </row>
    <row r="38" spans="2:9" ht="23.25" customHeight="1" x14ac:dyDescent="0.25">
      <c r="B38" s="864" t="s">
        <v>528</v>
      </c>
      <c r="C38" s="864"/>
      <c r="D38" s="864"/>
      <c r="E38" s="114"/>
    </row>
    <row r="39" spans="2:9" ht="23.25" customHeight="1" x14ac:dyDescent="0.25">
      <c r="B39" s="864" t="s">
        <v>529</v>
      </c>
      <c r="C39" s="864"/>
      <c r="D39" s="864"/>
      <c r="E39" s="114"/>
      <c r="G39" s="863" t="s">
        <v>541</v>
      </c>
      <c r="H39" s="863"/>
      <c r="I39" s="863"/>
    </row>
    <row r="40" spans="2:9" ht="23.25" customHeight="1" x14ac:dyDescent="0.25">
      <c r="B40" s="865" t="s">
        <v>395</v>
      </c>
      <c r="C40" s="865"/>
      <c r="D40" s="865"/>
      <c r="E40" s="258">
        <f>SUM(E31:E39)</f>
        <v>0</v>
      </c>
      <c r="G40" s="254" t="s">
        <v>542</v>
      </c>
      <c r="H40" s="257" t="s">
        <v>543</v>
      </c>
      <c r="I40" s="254" t="s">
        <v>544</v>
      </c>
    </row>
    <row r="41" spans="2:9" ht="23.25" customHeight="1" x14ac:dyDescent="0.25">
      <c r="E41" s="202" t="s">
        <v>663</v>
      </c>
      <c r="G41" s="254" t="s">
        <v>545</v>
      </c>
      <c r="H41" s="254" t="s">
        <v>547</v>
      </c>
      <c r="I41" s="254" t="s">
        <v>546</v>
      </c>
    </row>
    <row r="43" spans="2:9" ht="23.25" customHeight="1" x14ac:dyDescent="0.25">
      <c r="B43" s="860" t="s">
        <v>520</v>
      </c>
      <c r="C43" s="861"/>
      <c r="D43" s="862"/>
      <c r="E43" s="251">
        <v>1</v>
      </c>
      <c r="G43" s="254">
        <v>1</v>
      </c>
      <c r="H43" s="254" t="s">
        <v>539</v>
      </c>
    </row>
    <row r="44" spans="2:9" ht="23.25" customHeight="1" x14ac:dyDescent="0.25">
      <c r="G44" s="254">
        <v>0</v>
      </c>
      <c r="H44" s="254" t="s">
        <v>540</v>
      </c>
    </row>
  </sheetData>
  <mergeCells count="47">
    <mergeCell ref="G17:M18"/>
    <mergeCell ref="G13:M15"/>
    <mergeCell ref="B43:D43"/>
    <mergeCell ref="B33:D33"/>
    <mergeCell ref="H33:I33"/>
    <mergeCell ref="B34:D34"/>
    <mergeCell ref="H34:I34"/>
    <mergeCell ref="B35:D35"/>
    <mergeCell ref="B36:D36"/>
    <mergeCell ref="B37:D37"/>
    <mergeCell ref="B38:D38"/>
    <mergeCell ref="B39:D39"/>
    <mergeCell ref="G39:I39"/>
    <mergeCell ref="B40:D40"/>
    <mergeCell ref="B32:D32"/>
    <mergeCell ref="H32:I32"/>
    <mergeCell ref="B30:D30"/>
    <mergeCell ref="B31:D31"/>
    <mergeCell ref="B21:E21"/>
    <mergeCell ref="B22:E22"/>
    <mergeCell ref="B23:E23"/>
    <mergeCell ref="B24:E24"/>
    <mergeCell ref="B25:E25"/>
    <mergeCell ref="G31:I31"/>
    <mergeCell ref="B20:E20"/>
    <mergeCell ref="B9:E9"/>
    <mergeCell ref="B10:E10"/>
    <mergeCell ref="B11:E11"/>
    <mergeCell ref="B12:E12"/>
    <mergeCell ref="B13:E13"/>
    <mergeCell ref="B14:E14"/>
    <mergeCell ref="B15:E15"/>
    <mergeCell ref="B16:E16"/>
    <mergeCell ref="B17:E17"/>
    <mergeCell ref="B18:E18"/>
    <mergeCell ref="B19:E19"/>
    <mergeCell ref="B26:E26"/>
    <mergeCell ref="B27:E27"/>
    <mergeCell ref="B28:E28"/>
    <mergeCell ref="B8:E8"/>
    <mergeCell ref="G6:I6"/>
    <mergeCell ref="A2:E2"/>
    <mergeCell ref="G4:I4"/>
    <mergeCell ref="C5:D5"/>
    <mergeCell ref="G5:I5"/>
    <mergeCell ref="B7:E7"/>
    <mergeCell ref="C4:D4"/>
  </mergeCells>
  <conditionalFormatting sqref="E5">
    <cfRule type="containsText" dxfId="221" priority="1" operator="containsText" text="Terminé">
      <formula>NOT(ISERROR(SEARCH("Terminé",E5)))</formula>
    </cfRule>
    <cfRule type="containsText" dxfId="220" priority="2" operator="containsText" text="En cours">
      <formula>NOT(ISERROR(SEARCH("En cours",E5)))</formula>
    </cfRule>
    <cfRule type="containsText" dxfId="219"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ESUME CRITERES"/>
    <hyperlink ref="G6" location="CALENDRIER!A1" display="Lien vers CALENDRIER"/>
  </hyperlinks>
  <pageMargins left="0.7" right="0.7" top="0.75" bottom="0.75" header="0.3" footer="0.3"/>
  <pageSetup paperSize="9" scale="85"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4"/>
  <sheetViews>
    <sheetView topLeftCell="B10" zoomScaleNormal="100" zoomScaleSheetLayoutView="220"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9" width="11.42578125" style="37"/>
    <col min="10" max="13" width="0" style="37" hidden="1" customWidth="1"/>
    <col min="14" max="16384" width="11.42578125" style="37"/>
  </cols>
  <sheetData>
    <row r="1" spans="1:13" ht="23.25" customHeight="1" x14ac:dyDescent="0.35">
      <c r="A1" s="11" t="s">
        <v>87</v>
      </c>
      <c r="B1" s="11"/>
      <c r="C1" s="11"/>
      <c r="D1" s="11"/>
      <c r="E1" s="11"/>
    </row>
    <row r="2" spans="1:13" ht="23.25" customHeight="1" x14ac:dyDescent="0.4">
      <c r="A2" s="856" t="s">
        <v>913</v>
      </c>
      <c r="B2" s="856"/>
      <c r="C2" s="856"/>
      <c r="D2" s="856"/>
      <c r="E2" s="856"/>
    </row>
    <row r="3" spans="1:13" ht="23.25" customHeight="1" thickBot="1" x14ac:dyDescent="0.45">
      <c r="A3" s="358"/>
      <c r="B3" s="358"/>
      <c r="C3" s="358"/>
      <c r="D3" s="358"/>
      <c r="E3" s="358"/>
    </row>
    <row r="4" spans="1:13" ht="23.25" customHeight="1" thickBot="1" x14ac:dyDescent="0.3">
      <c r="A4" s="12"/>
      <c r="B4" s="233" t="s">
        <v>469</v>
      </c>
      <c r="C4" s="851" t="s">
        <v>40</v>
      </c>
      <c r="D4" s="852"/>
      <c r="E4" s="174" t="s">
        <v>688</v>
      </c>
      <c r="G4" s="848" t="s">
        <v>914</v>
      </c>
      <c r="H4" s="848"/>
      <c r="I4" s="848"/>
    </row>
    <row r="5" spans="1:13" ht="23.25" customHeight="1" x14ac:dyDescent="0.25">
      <c r="A5" s="381" t="s">
        <v>651</v>
      </c>
      <c r="B5" s="382" t="s">
        <v>50</v>
      </c>
      <c r="C5" s="820" t="s">
        <v>18</v>
      </c>
      <c r="D5" s="820"/>
      <c r="E5" s="232" t="s">
        <v>19</v>
      </c>
      <c r="G5" s="848" t="s">
        <v>915</v>
      </c>
      <c r="H5" s="848"/>
      <c r="I5" s="848"/>
    </row>
    <row r="6" spans="1:13" ht="23.25" customHeight="1" thickBot="1" x14ac:dyDescent="0.3">
      <c r="A6" s="379" t="s">
        <v>660</v>
      </c>
      <c r="B6" s="380" t="s">
        <v>658</v>
      </c>
      <c r="C6" s="16"/>
      <c r="D6" s="16"/>
      <c r="E6" s="16"/>
      <c r="G6" s="850" t="s">
        <v>916</v>
      </c>
      <c r="H6" s="850"/>
      <c r="I6" s="850"/>
      <c r="J6" s="37">
        <v>1.06</v>
      </c>
      <c r="K6" s="37">
        <v>2.1800000000000002</v>
      </c>
      <c r="L6" s="37">
        <v>1</v>
      </c>
      <c r="M6" s="37">
        <f>L6*K6*J6</f>
        <v>2.3108000000000004</v>
      </c>
    </row>
    <row r="7" spans="1:13" ht="24" customHeight="1" thickBot="1" x14ac:dyDescent="0.3">
      <c r="A7" s="207" t="s">
        <v>1</v>
      </c>
      <c r="B7" s="851" t="s">
        <v>685</v>
      </c>
      <c r="C7" s="891"/>
      <c r="D7" s="891"/>
      <c r="E7" s="852"/>
      <c r="J7" s="37">
        <v>1.0649999999999999</v>
      </c>
      <c r="K7" s="37">
        <v>2.19</v>
      </c>
      <c r="L7" s="37">
        <v>1</v>
      </c>
      <c r="M7" s="37">
        <f>L7*K7*J7</f>
        <v>2.3323499999999999</v>
      </c>
    </row>
    <row r="8" spans="1:13" ht="24" customHeight="1" thickBot="1" x14ac:dyDescent="0.3">
      <c r="A8" s="207" t="s">
        <v>0</v>
      </c>
      <c r="B8" s="857" t="s">
        <v>689</v>
      </c>
      <c r="C8" s="857"/>
      <c r="D8" s="857"/>
      <c r="E8" s="857"/>
    </row>
    <row r="9" spans="1:13" ht="105.75" customHeight="1" x14ac:dyDescent="0.25">
      <c r="A9" s="214" t="s">
        <v>2</v>
      </c>
      <c r="B9" s="854" t="s">
        <v>686</v>
      </c>
      <c r="C9" s="855"/>
      <c r="D9" s="855"/>
      <c r="E9" s="855"/>
    </row>
    <row r="10" spans="1:13" ht="54" customHeight="1" x14ac:dyDescent="0.25">
      <c r="A10" s="214" t="s">
        <v>31</v>
      </c>
      <c r="B10" s="854" t="s">
        <v>690</v>
      </c>
      <c r="C10" s="855"/>
      <c r="D10" s="855"/>
      <c r="E10" s="855"/>
    </row>
    <row r="11" spans="1:13" ht="30" customHeight="1" x14ac:dyDescent="0.25">
      <c r="A11" s="215" t="s">
        <v>16</v>
      </c>
      <c r="B11" s="858" t="s">
        <v>86</v>
      </c>
      <c r="C11" s="858"/>
      <c r="D11" s="858"/>
      <c r="E11" s="858"/>
    </row>
    <row r="12" spans="1:13" ht="30" customHeight="1" x14ac:dyDescent="0.25">
      <c r="A12" s="215" t="s">
        <v>3</v>
      </c>
      <c r="B12" s="858"/>
      <c r="C12" s="858"/>
      <c r="D12" s="858"/>
      <c r="E12" s="858"/>
    </row>
    <row r="13" spans="1:13" ht="30" customHeight="1" x14ac:dyDescent="0.25">
      <c r="A13" s="215" t="s">
        <v>17</v>
      </c>
      <c r="B13" s="858"/>
      <c r="C13" s="858"/>
      <c r="D13" s="858"/>
      <c r="E13" s="858"/>
    </row>
    <row r="14" spans="1:13" ht="30" customHeight="1" x14ac:dyDescent="0.25">
      <c r="A14" s="215" t="s">
        <v>4</v>
      </c>
      <c r="B14" s="858">
        <v>2015</v>
      </c>
      <c r="C14" s="858"/>
      <c r="D14" s="858"/>
      <c r="E14" s="858"/>
    </row>
    <row r="15" spans="1:13" ht="30" customHeight="1" x14ac:dyDescent="0.25">
      <c r="A15" s="215" t="s">
        <v>5</v>
      </c>
      <c r="B15" s="858">
        <v>2020</v>
      </c>
      <c r="C15" s="858"/>
      <c r="D15" s="858"/>
      <c r="E15" s="858"/>
    </row>
    <row r="16" spans="1:13" ht="30" customHeight="1" x14ac:dyDescent="0.25">
      <c r="A16" s="215" t="s">
        <v>6</v>
      </c>
      <c r="B16" s="859">
        <v>2000</v>
      </c>
      <c r="C16" s="859"/>
      <c r="D16" s="859"/>
      <c r="E16" s="859"/>
    </row>
    <row r="17" spans="1:9" ht="30" customHeight="1" x14ac:dyDescent="0.25">
      <c r="A17" s="215" t="s">
        <v>7</v>
      </c>
      <c r="B17" s="859">
        <v>0</v>
      </c>
      <c r="C17" s="859"/>
      <c r="D17" s="859"/>
      <c r="E17" s="859"/>
    </row>
    <row r="18" spans="1:9" ht="30" customHeight="1" x14ac:dyDescent="0.25">
      <c r="A18" s="210" t="s">
        <v>468</v>
      </c>
      <c r="B18" s="841">
        <v>200000</v>
      </c>
      <c r="C18" s="842"/>
      <c r="D18" s="842"/>
      <c r="E18" s="842"/>
      <c r="G18" s="2"/>
      <c r="H18" s="2"/>
    </row>
    <row r="19" spans="1:9" ht="30" customHeight="1" x14ac:dyDescent="0.25">
      <c r="A19" s="238" t="s">
        <v>467</v>
      </c>
      <c r="B19" s="843"/>
      <c r="C19" s="844"/>
      <c r="D19" s="844"/>
      <c r="E19" s="844"/>
      <c r="G19" s="2"/>
      <c r="H19" s="2"/>
    </row>
    <row r="20" spans="1:9" ht="30" customHeight="1" x14ac:dyDescent="0.25">
      <c r="A20" s="215" t="s">
        <v>8</v>
      </c>
      <c r="B20" s="845">
        <v>1</v>
      </c>
      <c r="C20" s="845"/>
      <c r="D20" s="845"/>
      <c r="E20" s="845"/>
    </row>
    <row r="21" spans="1:9" ht="30" customHeight="1" x14ac:dyDescent="0.25">
      <c r="A21" s="215" t="s">
        <v>9</v>
      </c>
      <c r="B21" s="845"/>
      <c r="C21" s="845"/>
      <c r="D21" s="845"/>
      <c r="E21" s="845"/>
    </row>
    <row r="22" spans="1:9" ht="30" customHeight="1" x14ac:dyDescent="0.25">
      <c r="A22" s="215" t="s">
        <v>465</v>
      </c>
      <c r="B22" s="846">
        <f>B16/(B20+B21)</f>
        <v>2000</v>
      </c>
      <c r="C22" s="846"/>
      <c r="D22" s="846"/>
      <c r="E22" s="846"/>
    </row>
    <row r="23" spans="1:9" ht="30" customHeight="1" x14ac:dyDescent="0.25">
      <c r="A23" s="215" t="s">
        <v>466</v>
      </c>
      <c r="B23" s="847">
        <f>(B16-B17)/(B20+B21)</f>
        <v>2000</v>
      </c>
      <c r="C23" s="847"/>
      <c r="D23" s="847"/>
      <c r="E23" s="847"/>
    </row>
    <row r="24" spans="1:9" ht="30" customHeight="1" x14ac:dyDescent="0.25">
      <c r="A24" s="216" t="s">
        <v>476</v>
      </c>
      <c r="B24" s="849">
        <f>B18*F24/1000</f>
        <v>23.4</v>
      </c>
      <c r="C24" s="849"/>
      <c r="D24" s="849"/>
      <c r="E24" s="849"/>
      <c r="F24" s="37">
        <v>0.11700000000000001</v>
      </c>
    </row>
    <row r="25" spans="1:9" ht="30" customHeight="1" x14ac:dyDescent="0.25">
      <c r="A25" s="217" t="s">
        <v>463</v>
      </c>
      <c r="B25" s="840">
        <f>B24/'Objectifs CO2'!C15</f>
        <v>1.695412736178618E-2</v>
      </c>
      <c r="C25" s="840"/>
      <c r="D25" s="840"/>
      <c r="E25" s="840"/>
    </row>
    <row r="26" spans="1:9" ht="30" customHeight="1" x14ac:dyDescent="0.25">
      <c r="A26" s="218" t="s">
        <v>464</v>
      </c>
      <c r="B26" s="840">
        <f>B24/'Objectifs CO2'!C8</f>
        <v>3.3908254723572359E-3</v>
      </c>
      <c r="C26" s="840"/>
      <c r="D26" s="840"/>
      <c r="E26" s="840"/>
    </row>
    <row r="27" spans="1:9" ht="30" customHeight="1" x14ac:dyDescent="0.25">
      <c r="A27" s="218" t="s">
        <v>24</v>
      </c>
      <c r="B27" s="853"/>
      <c r="C27" s="853"/>
      <c r="D27" s="853"/>
      <c r="E27" s="853"/>
    </row>
    <row r="28" spans="1:9" ht="30" customHeight="1" x14ac:dyDescent="0.25">
      <c r="A28" s="213" t="s">
        <v>418</v>
      </c>
      <c r="B28" s="853"/>
      <c r="C28" s="853"/>
      <c r="D28" s="853"/>
      <c r="E28" s="853"/>
    </row>
    <row r="30" spans="1:9" ht="23.25" customHeight="1" x14ac:dyDescent="0.25">
      <c r="B30" s="867" t="s">
        <v>530</v>
      </c>
      <c r="C30" s="867"/>
      <c r="D30" s="867"/>
      <c r="E30" s="143" t="s">
        <v>538</v>
      </c>
    </row>
    <row r="31" spans="1:9" ht="23.25" customHeight="1" x14ac:dyDescent="0.25">
      <c r="B31" s="864" t="s">
        <v>521</v>
      </c>
      <c r="C31" s="864"/>
      <c r="D31" s="864"/>
      <c r="E31" s="114"/>
      <c r="G31" s="866" t="s">
        <v>538</v>
      </c>
      <c r="H31" s="866"/>
      <c r="I31" s="866"/>
    </row>
    <row r="32" spans="1:9" ht="23.25" customHeight="1" x14ac:dyDescent="0.25">
      <c r="B32" s="864" t="s">
        <v>522</v>
      </c>
      <c r="C32" s="864"/>
      <c r="D32" s="864"/>
      <c r="E32" s="114"/>
      <c r="G32" s="252">
        <v>3</v>
      </c>
      <c r="H32" s="866" t="s">
        <v>535</v>
      </c>
      <c r="I32" s="866"/>
    </row>
    <row r="33" spans="2:9" ht="23.25" customHeight="1" x14ac:dyDescent="0.25">
      <c r="B33" s="864" t="s">
        <v>524</v>
      </c>
      <c r="C33" s="864"/>
      <c r="D33" s="864"/>
      <c r="E33" s="114"/>
      <c r="G33" s="252">
        <v>2</v>
      </c>
      <c r="H33" s="866" t="s">
        <v>536</v>
      </c>
      <c r="I33" s="866"/>
    </row>
    <row r="34" spans="2:9" ht="23.25" customHeight="1" x14ac:dyDescent="0.25">
      <c r="B34" s="864" t="s">
        <v>523</v>
      </c>
      <c r="C34" s="864"/>
      <c r="D34" s="864"/>
      <c r="E34" s="114"/>
      <c r="G34" s="252">
        <v>1</v>
      </c>
      <c r="H34" s="866" t="s">
        <v>537</v>
      </c>
      <c r="I34" s="866"/>
    </row>
    <row r="35" spans="2:9" ht="23.25" customHeight="1" x14ac:dyDescent="0.25">
      <c r="B35" s="864" t="s">
        <v>525</v>
      </c>
      <c r="C35" s="864"/>
      <c r="D35" s="864"/>
      <c r="E35" s="114"/>
    </row>
    <row r="36" spans="2:9" ht="23.25" customHeight="1" x14ac:dyDescent="0.25">
      <c r="B36" s="864" t="s">
        <v>526</v>
      </c>
      <c r="C36" s="864"/>
      <c r="D36" s="864"/>
      <c r="E36" s="114"/>
    </row>
    <row r="37" spans="2:9" ht="23.25" customHeight="1" x14ac:dyDescent="0.25">
      <c r="B37" s="864" t="s">
        <v>527</v>
      </c>
      <c r="C37" s="864"/>
      <c r="D37" s="864"/>
      <c r="E37" s="114"/>
    </row>
    <row r="38" spans="2:9" ht="23.25" customHeight="1" x14ac:dyDescent="0.25">
      <c r="B38" s="864" t="s">
        <v>528</v>
      </c>
      <c r="C38" s="864"/>
      <c r="D38" s="864"/>
      <c r="E38" s="114"/>
    </row>
    <row r="39" spans="2:9" ht="23.25" customHeight="1" x14ac:dyDescent="0.25">
      <c r="B39" s="864" t="s">
        <v>529</v>
      </c>
      <c r="C39" s="864"/>
      <c r="D39" s="864"/>
      <c r="E39" s="114"/>
      <c r="G39" s="863" t="s">
        <v>541</v>
      </c>
      <c r="H39" s="863"/>
      <c r="I39" s="863"/>
    </row>
    <row r="40" spans="2:9" ht="23.25" customHeight="1" x14ac:dyDescent="0.25">
      <c r="B40" s="865" t="s">
        <v>395</v>
      </c>
      <c r="C40" s="865"/>
      <c r="D40" s="865"/>
      <c r="E40" s="258">
        <f>SUM(E31:E39)</f>
        <v>0</v>
      </c>
      <c r="G40" s="254" t="s">
        <v>542</v>
      </c>
      <c r="H40" s="257" t="s">
        <v>543</v>
      </c>
      <c r="I40" s="254" t="s">
        <v>544</v>
      </c>
    </row>
    <row r="41" spans="2:9" ht="23.25" customHeight="1" x14ac:dyDescent="0.25">
      <c r="E41" s="202" t="s">
        <v>663</v>
      </c>
      <c r="G41" s="254" t="s">
        <v>545</v>
      </c>
      <c r="H41" s="254" t="s">
        <v>547</v>
      </c>
      <c r="I41" s="254" t="s">
        <v>546</v>
      </c>
    </row>
    <row r="43" spans="2:9" ht="23.25" customHeight="1" x14ac:dyDescent="0.25">
      <c r="B43" s="860" t="s">
        <v>520</v>
      </c>
      <c r="C43" s="861"/>
      <c r="D43" s="862"/>
      <c r="E43" s="251">
        <v>1</v>
      </c>
      <c r="G43" s="254">
        <v>1</v>
      </c>
      <c r="H43" s="254" t="s">
        <v>539</v>
      </c>
    </row>
    <row r="44" spans="2:9" ht="23.25" customHeight="1" x14ac:dyDescent="0.25">
      <c r="G44" s="254">
        <v>0</v>
      </c>
      <c r="H44" s="254" t="s">
        <v>540</v>
      </c>
    </row>
  </sheetData>
  <mergeCells count="45">
    <mergeCell ref="B43:D43"/>
    <mergeCell ref="B33:D33"/>
    <mergeCell ref="H33:I33"/>
    <mergeCell ref="B34:D34"/>
    <mergeCell ref="H34:I34"/>
    <mergeCell ref="B35:D35"/>
    <mergeCell ref="B36:D36"/>
    <mergeCell ref="B37:D37"/>
    <mergeCell ref="B38:D38"/>
    <mergeCell ref="B39:D39"/>
    <mergeCell ref="G39:I39"/>
    <mergeCell ref="B40:D40"/>
    <mergeCell ref="B32:D32"/>
    <mergeCell ref="H32:I32"/>
    <mergeCell ref="B21:E21"/>
    <mergeCell ref="B22:E22"/>
    <mergeCell ref="B23:E23"/>
    <mergeCell ref="B24:E24"/>
    <mergeCell ref="B25:E25"/>
    <mergeCell ref="B26:E26"/>
    <mergeCell ref="B27:E27"/>
    <mergeCell ref="B28:E28"/>
    <mergeCell ref="B30:D30"/>
    <mergeCell ref="B31:D31"/>
    <mergeCell ref="G31:I31"/>
    <mergeCell ref="B20:E20"/>
    <mergeCell ref="B9:E9"/>
    <mergeCell ref="B10:E10"/>
    <mergeCell ref="B11:E11"/>
    <mergeCell ref="B12:E12"/>
    <mergeCell ref="B13:E13"/>
    <mergeCell ref="B14:E14"/>
    <mergeCell ref="B15:E15"/>
    <mergeCell ref="B16:E16"/>
    <mergeCell ref="B17:E17"/>
    <mergeCell ref="B18:E18"/>
    <mergeCell ref="B19:E19"/>
    <mergeCell ref="B8:E8"/>
    <mergeCell ref="G6:I6"/>
    <mergeCell ref="A2:E2"/>
    <mergeCell ref="G4:I4"/>
    <mergeCell ref="C5:D5"/>
    <mergeCell ref="G5:I5"/>
    <mergeCell ref="B7:E7"/>
    <mergeCell ref="C4:D4"/>
  </mergeCells>
  <conditionalFormatting sqref="E5">
    <cfRule type="containsText" dxfId="218" priority="1" operator="containsText" text="Terminé">
      <formula>NOT(ISERROR(SEARCH("Terminé",E5)))</formula>
    </cfRule>
    <cfRule type="containsText" dxfId="217" priority="2" operator="containsText" text="En cours">
      <formula>NOT(ISERROR(SEARCH("En cours",E5)))</formula>
    </cfRule>
    <cfRule type="containsText" dxfId="216"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ESUME CRITERES"/>
    <hyperlink ref="G6" location="CALENDRIER!A1" display="Lien vers CALENDRIER"/>
  </hyperlinks>
  <pageMargins left="0.7" right="0.7" top="0.75" bottom="0.75" header="0.3" footer="0.3"/>
  <pageSetup paperSize="9" scale="85"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4"/>
  <sheetViews>
    <sheetView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9" width="11.42578125" style="37"/>
    <col min="10" max="13" width="0" style="37" hidden="1" customWidth="1"/>
    <col min="14" max="16384" width="11.42578125" style="37"/>
  </cols>
  <sheetData>
    <row r="1" spans="1:13" ht="23.25" customHeight="1" x14ac:dyDescent="0.35">
      <c r="A1" s="11" t="s">
        <v>87</v>
      </c>
      <c r="B1" s="11"/>
      <c r="C1" s="11"/>
      <c r="D1" s="11"/>
      <c r="E1" s="11"/>
    </row>
    <row r="2" spans="1:13" ht="23.25" customHeight="1" x14ac:dyDescent="0.4">
      <c r="A2" s="856" t="s">
        <v>913</v>
      </c>
      <c r="B2" s="856"/>
      <c r="C2" s="856"/>
      <c r="D2" s="856"/>
      <c r="E2" s="856"/>
    </row>
    <row r="3" spans="1:13" ht="23.25" customHeight="1" thickBot="1" x14ac:dyDescent="0.45">
      <c r="A3" s="633"/>
      <c r="B3" s="633"/>
      <c r="C3" s="633"/>
      <c r="D3" s="633"/>
      <c r="E3" s="633"/>
    </row>
    <row r="4" spans="1:13" ht="23.25" customHeight="1" thickBot="1" x14ac:dyDescent="0.3">
      <c r="A4" s="12"/>
      <c r="B4" s="233" t="s">
        <v>469</v>
      </c>
      <c r="C4" s="851" t="s">
        <v>611</v>
      </c>
      <c r="D4" s="852"/>
      <c r="E4" s="174" t="s">
        <v>907</v>
      </c>
      <c r="G4" s="848" t="s">
        <v>914</v>
      </c>
      <c r="H4" s="848"/>
      <c r="I4" s="848"/>
    </row>
    <row r="5" spans="1:13" ht="23.25" customHeight="1" x14ac:dyDescent="0.25">
      <c r="A5" s="381" t="s">
        <v>651</v>
      </c>
      <c r="B5" s="382" t="s">
        <v>50</v>
      </c>
      <c r="C5" s="820" t="s">
        <v>18</v>
      </c>
      <c r="D5" s="820"/>
      <c r="E5" s="232" t="s">
        <v>19</v>
      </c>
      <c r="G5" s="848" t="s">
        <v>915</v>
      </c>
      <c r="H5" s="848"/>
      <c r="I5" s="848"/>
    </row>
    <row r="6" spans="1:13" ht="23.25" customHeight="1" thickBot="1" x14ac:dyDescent="0.3">
      <c r="A6" s="379" t="s">
        <v>660</v>
      </c>
      <c r="B6" s="380" t="s">
        <v>658</v>
      </c>
      <c r="C6" s="16"/>
      <c r="D6" s="16"/>
      <c r="E6" s="16"/>
      <c r="G6" s="850" t="s">
        <v>916</v>
      </c>
      <c r="H6" s="850"/>
      <c r="I6" s="850"/>
      <c r="J6" s="37">
        <v>1.06</v>
      </c>
      <c r="K6" s="37">
        <v>2.1800000000000002</v>
      </c>
      <c r="L6" s="37">
        <v>1</v>
      </c>
      <c r="M6" s="37">
        <f>L6*K6*J6</f>
        <v>2.3108000000000004</v>
      </c>
    </row>
    <row r="7" spans="1:13" ht="24" customHeight="1" thickBot="1" x14ac:dyDescent="0.3">
      <c r="A7" s="207" t="s">
        <v>1</v>
      </c>
      <c r="B7" s="851" t="s">
        <v>910</v>
      </c>
      <c r="C7" s="891"/>
      <c r="D7" s="891"/>
      <c r="E7" s="852"/>
      <c r="J7" s="37">
        <v>1.0649999999999999</v>
      </c>
      <c r="K7" s="37">
        <v>2.19</v>
      </c>
      <c r="L7" s="37">
        <v>1</v>
      </c>
      <c r="M7" s="37">
        <f>L7*K7*J7</f>
        <v>2.3323499999999999</v>
      </c>
    </row>
    <row r="8" spans="1:13" ht="24" customHeight="1" thickBot="1" x14ac:dyDescent="0.3">
      <c r="A8" s="207" t="s">
        <v>0</v>
      </c>
      <c r="B8" s="857" t="s">
        <v>911</v>
      </c>
      <c r="C8" s="857"/>
      <c r="D8" s="857"/>
      <c r="E8" s="857"/>
    </row>
    <row r="9" spans="1:13" ht="59.25" customHeight="1" x14ac:dyDescent="0.25">
      <c r="A9" s="214" t="s">
        <v>2</v>
      </c>
      <c r="B9" s="854" t="s">
        <v>946</v>
      </c>
      <c r="C9" s="855"/>
      <c r="D9" s="855"/>
      <c r="E9" s="855"/>
    </row>
    <row r="10" spans="1:13" ht="54" customHeight="1" x14ac:dyDescent="0.25">
      <c r="A10" s="214" t="s">
        <v>31</v>
      </c>
      <c r="B10" s="854"/>
      <c r="C10" s="855"/>
      <c r="D10" s="855"/>
      <c r="E10" s="855"/>
    </row>
    <row r="11" spans="1:13" ht="30" customHeight="1" x14ac:dyDescent="0.25">
      <c r="A11" s="215" t="s">
        <v>16</v>
      </c>
      <c r="B11" s="858" t="s">
        <v>86</v>
      </c>
      <c r="C11" s="858"/>
      <c r="D11" s="858"/>
      <c r="E11" s="858"/>
    </row>
    <row r="12" spans="1:13" ht="30" customHeight="1" x14ac:dyDescent="0.25">
      <c r="A12" s="215" t="s">
        <v>3</v>
      </c>
      <c r="B12" s="858"/>
      <c r="C12" s="858"/>
      <c r="D12" s="858"/>
      <c r="E12" s="858"/>
    </row>
    <row r="13" spans="1:13" ht="30" customHeight="1" x14ac:dyDescent="0.25">
      <c r="A13" s="215" t="s">
        <v>17</v>
      </c>
      <c r="B13" s="858"/>
      <c r="C13" s="858"/>
      <c r="D13" s="858"/>
      <c r="E13" s="858"/>
    </row>
    <row r="14" spans="1:13" ht="30" customHeight="1" x14ac:dyDescent="0.25">
      <c r="A14" s="215" t="s">
        <v>4</v>
      </c>
      <c r="B14" s="858">
        <v>2015</v>
      </c>
      <c r="C14" s="858"/>
      <c r="D14" s="858"/>
      <c r="E14" s="858"/>
    </row>
    <row r="15" spans="1:13" ht="30" customHeight="1" x14ac:dyDescent="0.25">
      <c r="A15" s="215" t="s">
        <v>5</v>
      </c>
      <c r="B15" s="858">
        <v>2020</v>
      </c>
      <c r="C15" s="858"/>
      <c r="D15" s="858"/>
      <c r="E15" s="858"/>
    </row>
    <row r="16" spans="1:13" ht="30" customHeight="1" x14ac:dyDescent="0.25">
      <c r="A16" s="215" t="s">
        <v>6</v>
      </c>
      <c r="B16" s="859">
        <v>2000</v>
      </c>
      <c r="C16" s="859"/>
      <c r="D16" s="859"/>
      <c r="E16" s="859"/>
    </row>
    <row r="17" spans="1:9" ht="30" customHeight="1" x14ac:dyDescent="0.25">
      <c r="A17" s="215" t="s">
        <v>7</v>
      </c>
      <c r="B17" s="859">
        <v>0</v>
      </c>
      <c r="C17" s="859"/>
      <c r="D17" s="859"/>
      <c r="E17" s="859"/>
    </row>
    <row r="18" spans="1:9" ht="30" customHeight="1" x14ac:dyDescent="0.25">
      <c r="A18" s="210" t="s">
        <v>468</v>
      </c>
      <c r="B18" s="841">
        <v>200000</v>
      </c>
      <c r="C18" s="842"/>
      <c r="D18" s="842"/>
      <c r="E18" s="842"/>
      <c r="G18" s="2"/>
      <c r="H18" s="2"/>
    </row>
    <row r="19" spans="1:9" ht="30" customHeight="1" x14ac:dyDescent="0.25">
      <c r="A19" s="238" t="s">
        <v>467</v>
      </c>
      <c r="B19" s="843"/>
      <c r="C19" s="844"/>
      <c r="D19" s="844"/>
      <c r="E19" s="844"/>
      <c r="G19" s="2"/>
      <c r="H19" s="2"/>
    </row>
    <row r="20" spans="1:9" ht="30" customHeight="1" x14ac:dyDescent="0.25">
      <c r="A20" s="215" t="s">
        <v>8</v>
      </c>
      <c r="B20" s="845">
        <v>1</v>
      </c>
      <c r="C20" s="845"/>
      <c r="D20" s="845"/>
      <c r="E20" s="845"/>
    </row>
    <row r="21" spans="1:9" ht="30" customHeight="1" x14ac:dyDescent="0.25">
      <c r="A21" s="215" t="s">
        <v>9</v>
      </c>
      <c r="B21" s="845"/>
      <c r="C21" s="845"/>
      <c r="D21" s="845"/>
      <c r="E21" s="845"/>
    </row>
    <row r="22" spans="1:9" ht="30" customHeight="1" x14ac:dyDescent="0.25">
      <c r="A22" s="215" t="s">
        <v>465</v>
      </c>
      <c r="B22" s="846">
        <f>B16/(B20+B21)</f>
        <v>2000</v>
      </c>
      <c r="C22" s="846"/>
      <c r="D22" s="846"/>
      <c r="E22" s="846"/>
    </row>
    <row r="23" spans="1:9" ht="30" customHeight="1" x14ac:dyDescent="0.25">
      <c r="A23" s="215" t="s">
        <v>466</v>
      </c>
      <c r="B23" s="847">
        <f>(B16-B17)/(B20+B21)</f>
        <v>2000</v>
      </c>
      <c r="C23" s="847"/>
      <c r="D23" s="847"/>
      <c r="E23" s="847"/>
    </row>
    <row r="24" spans="1:9" ht="30" customHeight="1" x14ac:dyDescent="0.25">
      <c r="A24" s="216" t="s">
        <v>476</v>
      </c>
      <c r="B24" s="849">
        <f>B18*F24/1000</f>
        <v>23.4</v>
      </c>
      <c r="C24" s="849"/>
      <c r="D24" s="849"/>
      <c r="E24" s="849"/>
      <c r="F24" s="37">
        <v>0.11700000000000001</v>
      </c>
    </row>
    <row r="25" spans="1:9" ht="30" customHeight="1" x14ac:dyDescent="0.25">
      <c r="A25" s="217" t="s">
        <v>463</v>
      </c>
      <c r="B25" s="840">
        <f>B24/'Objectifs CO2'!C15</f>
        <v>1.695412736178618E-2</v>
      </c>
      <c r="C25" s="840"/>
      <c r="D25" s="840"/>
      <c r="E25" s="840"/>
    </row>
    <row r="26" spans="1:9" ht="30" customHeight="1" x14ac:dyDescent="0.25">
      <c r="A26" s="218" t="s">
        <v>464</v>
      </c>
      <c r="B26" s="840">
        <f>B24/'Objectifs CO2'!C8</f>
        <v>3.3908254723572359E-3</v>
      </c>
      <c r="C26" s="840"/>
      <c r="D26" s="840"/>
      <c r="E26" s="840"/>
    </row>
    <row r="27" spans="1:9" ht="30" customHeight="1" x14ac:dyDescent="0.25">
      <c r="A27" s="218" t="s">
        <v>24</v>
      </c>
      <c r="B27" s="853"/>
      <c r="C27" s="853"/>
      <c r="D27" s="853"/>
      <c r="E27" s="853"/>
    </row>
    <row r="28" spans="1:9" ht="30" customHeight="1" x14ac:dyDescent="0.25">
      <c r="A28" s="213" t="s">
        <v>418</v>
      </c>
      <c r="B28" s="853"/>
      <c r="C28" s="853"/>
      <c r="D28" s="853"/>
      <c r="E28" s="853"/>
    </row>
    <row r="30" spans="1:9" ht="23.25" customHeight="1" x14ac:dyDescent="0.25">
      <c r="B30" s="867" t="s">
        <v>530</v>
      </c>
      <c r="C30" s="867"/>
      <c r="D30" s="867"/>
      <c r="E30" s="143" t="s">
        <v>538</v>
      </c>
    </row>
    <row r="31" spans="1:9" ht="23.25" customHeight="1" x14ac:dyDescent="0.25">
      <c r="B31" s="864" t="s">
        <v>521</v>
      </c>
      <c r="C31" s="864"/>
      <c r="D31" s="864"/>
      <c r="E31" s="114"/>
      <c r="G31" s="866" t="s">
        <v>538</v>
      </c>
      <c r="H31" s="866"/>
      <c r="I31" s="866"/>
    </row>
    <row r="32" spans="1:9" ht="23.25" customHeight="1" x14ac:dyDescent="0.25">
      <c r="B32" s="864" t="s">
        <v>522</v>
      </c>
      <c r="C32" s="864"/>
      <c r="D32" s="864"/>
      <c r="E32" s="114"/>
      <c r="G32" s="252">
        <v>3</v>
      </c>
      <c r="H32" s="866" t="s">
        <v>535</v>
      </c>
      <c r="I32" s="866"/>
    </row>
    <row r="33" spans="2:9" ht="23.25" customHeight="1" x14ac:dyDescent="0.25">
      <c r="B33" s="864" t="s">
        <v>524</v>
      </c>
      <c r="C33" s="864"/>
      <c r="D33" s="864"/>
      <c r="E33" s="114"/>
      <c r="G33" s="252">
        <v>2</v>
      </c>
      <c r="H33" s="866" t="s">
        <v>536</v>
      </c>
      <c r="I33" s="866"/>
    </row>
    <row r="34" spans="2:9" ht="23.25" customHeight="1" x14ac:dyDescent="0.25">
      <c r="B34" s="864" t="s">
        <v>523</v>
      </c>
      <c r="C34" s="864"/>
      <c r="D34" s="864"/>
      <c r="E34" s="114"/>
      <c r="G34" s="252">
        <v>1</v>
      </c>
      <c r="H34" s="866" t="s">
        <v>537</v>
      </c>
      <c r="I34" s="866"/>
    </row>
    <row r="35" spans="2:9" ht="23.25" customHeight="1" x14ac:dyDescent="0.25">
      <c r="B35" s="864" t="s">
        <v>525</v>
      </c>
      <c r="C35" s="864"/>
      <c r="D35" s="864"/>
      <c r="E35" s="114"/>
    </row>
    <row r="36" spans="2:9" ht="23.25" customHeight="1" x14ac:dyDescent="0.25">
      <c r="B36" s="864" t="s">
        <v>526</v>
      </c>
      <c r="C36" s="864"/>
      <c r="D36" s="864"/>
      <c r="E36" s="114"/>
    </row>
    <row r="37" spans="2:9" ht="23.25" customHeight="1" x14ac:dyDescent="0.25">
      <c r="B37" s="864" t="s">
        <v>527</v>
      </c>
      <c r="C37" s="864"/>
      <c r="D37" s="864"/>
      <c r="E37" s="114"/>
    </row>
    <row r="38" spans="2:9" ht="23.25" customHeight="1" x14ac:dyDescent="0.25">
      <c r="B38" s="864" t="s">
        <v>528</v>
      </c>
      <c r="C38" s="864"/>
      <c r="D38" s="864"/>
      <c r="E38" s="114"/>
    </row>
    <row r="39" spans="2:9" ht="23.25" customHeight="1" x14ac:dyDescent="0.25">
      <c r="B39" s="864" t="s">
        <v>529</v>
      </c>
      <c r="C39" s="864"/>
      <c r="D39" s="864"/>
      <c r="E39" s="114"/>
      <c r="G39" s="863" t="s">
        <v>541</v>
      </c>
      <c r="H39" s="863"/>
      <c r="I39" s="863"/>
    </row>
    <row r="40" spans="2:9" ht="23.25" customHeight="1" x14ac:dyDescent="0.25">
      <c r="B40" s="865" t="s">
        <v>395</v>
      </c>
      <c r="C40" s="865"/>
      <c r="D40" s="865"/>
      <c r="E40" s="258">
        <f>SUM(E31:E39)</f>
        <v>0</v>
      </c>
      <c r="G40" s="254" t="s">
        <v>542</v>
      </c>
      <c r="H40" s="257" t="s">
        <v>543</v>
      </c>
      <c r="I40" s="254" t="s">
        <v>544</v>
      </c>
    </row>
    <row r="41" spans="2:9" ht="23.25" customHeight="1" x14ac:dyDescent="0.25">
      <c r="E41" s="202" t="s">
        <v>663</v>
      </c>
      <c r="G41" s="254" t="s">
        <v>545</v>
      </c>
      <c r="H41" s="254" t="s">
        <v>547</v>
      </c>
      <c r="I41" s="254" t="s">
        <v>546</v>
      </c>
    </row>
    <row r="43" spans="2:9" ht="23.25" customHeight="1" x14ac:dyDescent="0.25">
      <c r="B43" s="860" t="s">
        <v>520</v>
      </c>
      <c r="C43" s="861"/>
      <c r="D43" s="862"/>
      <c r="E43" s="251">
        <v>1</v>
      </c>
      <c r="G43" s="254">
        <v>1</v>
      </c>
      <c r="H43" s="254" t="s">
        <v>539</v>
      </c>
    </row>
    <row r="44" spans="2:9" ht="23.25" customHeight="1" x14ac:dyDescent="0.25">
      <c r="G44" s="254">
        <v>0</v>
      </c>
      <c r="H44" s="254" t="s">
        <v>540</v>
      </c>
    </row>
  </sheetData>
  <mergeCells count="45">
    <mergeCell ref="B12:E12"/>
    <mergeCell ref="A2:E2"/>
    <mergeCell ref="C4:D4"/>
    <mergeCell ref="G4:I4"/>
    <mergeCell ref="C5:D5"/>
    <mergeCell ref="G5:I5"/>
    <mergeCell ref="G6:I6"/>
    <mergeCell ref="B7:E7"/>
    <mergeCell ref="B8:E8"/>
    <mergeCell ref="B9:E9"/>
    <mergeCell ref="B10:E10"/>
    <mergeCell ref="B11:E11"/>
    <mergeCell ref="B24:E24"/>
    <mergeCell ref="B13:E13"/>
    <mergeCell ref="B14:E14"/>
    <mergeCell ref="B15:E15"/>
    <mergeCell ref="B16:E16"/>
    <mergeCell ref="B17:E17"/>
    <mergeCell ref="B18:E18"/>
    <mergeCell ref="B19:E19"/>
    <mergeCell ref="B20:E20"/>
    <mergeCell ref="B21:E21"/>
    <mergeCell ref="B22:E22"/>
    <mergeCell ref="B23:E23"/>
    <mergeCell ref="B25:E25"/>
    <mergeCell ref="B26:E26"/>
    <mergeCell ref="B27:E27"/>
    <mergeCell ref="B28:E28"/>
    <mergeCell ref="B30:D30"/>
    <mergeCell ref="G39:I39"/>
    <mergeCell ref="G31:I31"/>
    <mergeCell ref="B32:D32"/>
    <mergeCell ref="H32:I32"/>
    <mergeCell ref="B33:D33"/>
    <mergeCell ref="H33:I33"/>
    <mergeCell ref="B34:D34"/>
    <mergeCell ref="H34:I34"/>
    <mergeCell ref="B31:D31"/>
    <mergeCell ref="B40:D40"/>
    <mergeCell ref="B43:D43"/>
    <mergeCell ref="B35:D35"/>
    <mergeCell ref="B36:D36"/>
    <mergeCell ref="B37:D37"/>
    <mergeCell ref="B38:D38"/>
    <mergeCell ref="B39:D39"/>
  </mergeCells>
  <conditionalFormatting sqref="E5">
    <cfRule type="containsText" dxfId="215" priority="1" operator="containsText" text="Terminé">
      <formula>NOT(ISERROR(SEARCH("Terminé",E5)))</formula>
    </cfRule>
    <cfRule type="containsText" dxfId="214" priority="2" operator="containsText" text="En cours">
      <formula>NOT(ISERROR(SEARCH("En cours",E5)))</formula>
    </cfRule>
    <cfRule type="containsText" dxfId="213"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ESUME CRITERES"/>
    <hyperlink ref="G6" location="CALENDRIER!A1" display="Lien vers CALENDRIER"/>
  </hyperlink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CO2'!$U$3:$U$9</xm:f>
          </x14:formula1>
          <xm:sqref>C4:D4</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CO2'!$P$8:$P$12</xm:f>
          </x14:formula1>
          <xm:sqref>E5</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4"/>
  <sheetViews>
    <sheetView topLeftCell="A7" workbookViewId="0">
      <selection activeCell="B14" sqref="B14:E1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9" width="11.42578125" style="37"/>
    <col min="10" max="13" width="0" style="37" hidden="1" customWidth="1"/>
    <col min="14" max="16384" width="11.42578125" style="37"/>
  </cols>
  <sheetData>
    <row r="1" spans="1:13" ht="23.25" customHeight="1" x14ac:dyDescent="0.35">
      <c r="A1" s="11" t="s">
        <v>87</v>
      </c>
      <c r="B1" s="11"/>
      <c r="C1" s="11"/>
      <c r="D1" s="11"/>
      <c r="E1" s="11"/>
    </row>
    <row r="2" spans="1:13" ht="23.25" customHeight="1" x14ac:dyDescent="0.4">
      <c r="A2" s="856" t="s">
        <v>913</v>
      </c>
      <c r="B2" s="856"/>
      <c r="C2" s="856"/>
      <c r="D2" s="856"/>
      <c r="E2" s="856"/>
    </row>
    <row r="3" spans="1:13" ht="23.25" customHeight="1" thickBot="1" x14ac:dyDescent="0.45">
      <c r="A3" s="633"/>
      <c r="B3" s="633"/>
      <c r="C3" s="633"/>
      <c r="D3" s="633"/>
      <c r="E3" s="633"/>
    </row>
    <row r="4" spans="1:13" ht="23.25" customHeight="1" thickBot="1" x14ac:dyDescent="0.3">
      <c r="A4" s="12"/>
      <c r="B4" s="233" t="s">
        <v>469</v>
      </c>
      <c r="C4" s="851" t="s">
        <v>611</v>
      </c>
      <c r="D4" s="852"/>
      <c r="E4" s="174" t="s">
        <v>688</v>
      </c>
      <c r="G4" s="848" t="s">
        <v>914</v>
      </c>
      <c r="H4" s="848"/>
      <c r="I4" s="848"/>
    </row>
    <row r="5" spans="1:13" ht="23.25" customHeight="1" x14ac:dyDescent="0.25">
      <c r="A5" s="381" t="s">
        <v>651</v>
      </c>
      <c r="B5" s="382" t="s">
        <v>50</v>
      </c>
      <c r="C5" s="820" t="s">
        <v>18</v>
      </c>
      <c r="D5" s="820"/>
      <c r="E5" s="232" t="s">
        <v>19</v>
      </c>
      <c r="G5" s="848" t="s">
        <v>915</v>
      </c>
      <c r="H5" s="848"/>
      <c r="I5" s="848"/>
    </row>
    <row r="6" spans="1:13" ht="23.25" customHeight="1" thickBot="1" x14ac:dyDescent="0.3">
      <c r="A6" s="379" t="s">
        <v>660</v>
      </c>
      <c r="B6" s="380" t="s">
        <v>658</v>
      </c>
      <c r="C6" s="16"/>
      <c r="D6" s="16"/>
      <c r="E6" s="16"/>
      <c r="G6" s="850" t="s">
        <v>916</v>
      </c>
      <c r="H6" s="850"/>
      <c r="I6" s="850"/>
      <c r="J6" s="37">
        <v>1.06</v>
      </c>
      <c r="K6" s="37">
        <v>2.1800000000000002</v>
      </c>
      <c r="L6" s="37">
        <v>1</v>
      </c>
      <c r="M6" s="37">
        <f>L6*K6*J6</f>
        <v>2.3108000000000004</v>
      </c>
    </row>
    <row r="7" spans="1:13" ht="24" customHeight="1" thickBot="1" x14ac:dyDescent="0.3">
      <c r="A7" s="207" t="s">
        <v>1</v>
      </c>
      <c r="B7" s="851" t="s">
        <v>910</v>
      </c>
      <c r="C7" s="891"/>
      <c r="D7" s="891"/>
      <c r="E7" s="852"/>
      <c r="J7" s="37">
        <v>1.0649999999999999</v>
      </c>
      <c r="K7" s="37">
        <v>2.19</v>
      </c>
      <c r="L7" s="37">
        <v>1</v>
      </c>
      <c r="M7" s="37">
        <f>L7*K7*J7</f>
        <v>2.3323499999999999</v>
      </c>
    </row>
    <row r="8" spans="1:13" ht="24" customHeight="1" thickBot="1" x14ac:dyDescent="0.3">
      <c r="A8" s="207" t="s">
        <v>0</v>
      </c>
      <c r="B8" s="857" t="s">
        <v>912</v>
      </c>
      <c r="C8" s="857"/>
      <c r="D8" s="857"/>
      <c r="E8" s="857"/>
    </row>
    <row r="9" spans="1:13" ht="105.75" customHeight="1" x14ac:dyDescent="0.25">
      <c r="A9" s="214" t="s">
        <v>2</v>
      </c>
      <c r="B9" s="854" t="s">
        <v>983</v>
      </c>
      <c r="C9" s="855"/>
      <c r="D9" s="855"/>
      <c r="E9" s="855"/>
    </row>
    <row r="10" spans="1:13" ht="54" customHeight="1" x14ac:dyDescent="0.25">
      <c r="A10" s="214" t="s">
        <v>31</v>
      </c>
      <c r="B10" s="854"/>
      <c r="C10" s="855"/>
      <c r="D10" s="855"/>
      <c r="E10" s="855"/>
    </row>
    <row r="11" spans="1:13" ht="30" customHeight="1" x14ac:dyDescent="0.25">
      <c r="A11" s="215" t="s">
        <v>16</v>
      </c>
      <c r="B11" s="858" t="s">
        <v>86</v>
      </c>
      <c r="C11" s="858"/>
      <c r="D11" s="858"/>
      <c r="E11" s="858"/>
    </row>
    <row r="12" spans="1:13" ht="30" customHeight="1" x14ac:dyDescent="0.25">
      <c r="A12" s="215" t="s">
        <v>3</v>
      </c>
      <c r="B12" s="858"/>
      <c r="C12" s="858"/>
      <c r="D12" s="858"/>
      <c r="E12" s="858"/>
    </row>
    <row r="13" spans="1:13" ht="30" customHeight="1" x14ac:dyDescent="0.25">
      <c r="A13" s="215" t="s">
        <v>17</v>
      </c>
      <c r="B13" s="858"/>
      <c r="C13" s="858"/>
      <c r="D13" s="858"/>
      <c r="E13" s="858"/>
    </row>
    <row r="14" spans="1:13" ht="30" customHeight="1" x14ac:dyDescent="0.25">
      <c r="A14" s="215" t="s">
        <v>4</v>
      </c>
      <c r="B14" s="858">
        <v>2018</v>
      </c>
      <c r="C14" s="858"/>
      <c r="D14" s="858"/>
      <c r="E14" s="858"/>
    </row>
    <row r="15" spans="1:13" ht="30" customHeight="1" x14ac:dyDescent="0.25">
      <c r="A15" s="215" t="s">
        <v>5</v>
      </c>
      <c r="B15" s="858">
        <v>2020</v>
      </c>
      <c r="C15" s="858"/>
      <c r="D15" s="858"/>
      <c r="E15" s="858"/>
    </row>
    <row r="16" spans="1:13" ht="30" customHeight="1" x14ac:dyDescent="0.25">
      <c r="A16" s="215" t="s">
        <v>6</v>
      </c>
      <c r="B16" s="859">
        <v>2000</v>
      </c>
      <c r="C16" s="859"/>
      <c r="D16" s="859"/>
      <c r="E16" s="859"/>
    </row>
    <row r="17" spans="1:9" ht="30" customHeight="1" x14ac:dyDescent="0.25">
      <c r="A17" s="215" t="s">
        <v>7</v>
      </c>
      <c r="B17" s="859">
        <v>0</v>
      </c>
      <c r="C17" s="859"/>
      <c r="D17" s="859"/>
      <c r="E17" s="859"/>
    </row>
    <row r="18" spans="1:9" ht="30" customHeight="1" x14ac:dyDescent="0.25">
      <c r="A18" s="210" t="s">
        <v>468</v>
      </c>
      <c r="B18" s="841">
        <v>200000</v>
      </c>
      <c r="C18" s="842"/>
      <c r="D18" s="842"/>
      <c r="E18" s="842"/>
      <c r="G18" s="2"/>
      <c r="H18" s="2"/>
    </row>
    <row r="19" spans="1:9" ht="30" customHeight="1" x14ac:dyDescent="0.25">
      <c r="A19" s="238" t="s">
        <v>467</v>
      </c>
      <c r="B19" s="843"/>
      <c r="C19" s="844"/>
      <c r="D19" s="844"/>
      <c r="E19" s="844"/>
      <c r="G19" s="2"/>
      <c r="H19" s="2"/>
    </row>
    <row r="20" spans="1:9" ht="30" customHeight="1" x14ac:dyDescent="0.25">
      <c r="A20" s="215" t="s">
        <v>8</v>
      </c>
      <c r="B20" s="845">
        <v>1</v>
      </c>
      <c r="C20" s="845"/>
      <c r="D20" s="845"/>
      <c r="E20" s="845"/>
    </row>
    <row r="21" spans="1:9" ht="30" customHeight="1" x14ac:dyDescent="0.25">
      <c r="A21" s="215" t="s">
        <v>9</v>
      </c>
      <c r="B21" s="845"/>
      <c r="C21" s="845"/>
      <c r="D21" s="845"/>
      <c r="E21" s="845"/>
    </row>
    <row r="22" spans="1:9" ht="30" customHeight="1" x14ac:dyDescent="0.25">
      <c r="A22" s="215" t="s">
        <v>465</v>
      </c>
      <c r="B22" s="846">
        <f>B16/(B20+B21)</f>
        <v>2000</v>
      </c>
      <c r="C22" s="846"/>
      <c r="D22" s="846"/>
      <c r="E22" s="846"/>
    </row>
    <row r="23" spans="1:9" ht="30" customHeight="1" x14ac:dyDescent="0.25">
      <c r="A23" s="215" t="s">
        <v>466</v>
      </c>
      <c r="B23" s="847">
        <f>(B16-B17)/(B20+B21)</f>
        <v>2000</v>
      </c>
      <c r="C23" s="847"/>
      <c r="D23" s="847"/>
      <c r="E23" s="847"/>
    </row>
    <row r="24" spans="1:9" ht="30" customHeight="1" x14ac:dyDescent="0.25">
      <c r="A24" s="216" t="s">
        <v>476</v>
      </c>
      <c r="B24" s="849">
        <f>B18*F24/1000</f>
        <v>23.4</v>
      </c>
      <c r="C24" s="849"/>
      <c r="D24" s="849"/>
      <c r="E24" s="849"/>
      <c r="F24" s="37">
        <v>0.11700000000000001</v>
      </c>
    </row>
    <row r="25" spans="1:9" ht="30" customHeight="1" x14ac:dyDescent="0.25">
      <c r="A25" s="217" t="s">
        <v>463</v>
      </c>
      <c r="B25" s="840">
        <f>B24/'Objectifs CO2'!C15</f>
        <v>1.695412736178618E-2</v>
      </c>
      <c r="C25" s="840"/>
      <c r="D25" s="840"/>
      <c r="E25" s="840"/>
    </row>
    <row r="26" spans="1:9" ht="30" customHeight="1" x14ac:dyDescent="0.25">
      <c r="A26" s="218" t="s">
        <v>464</v>
      </c>
      <c r="B26" s="840">
        <f>B24/'Objectifs CO2'!C8</f>
        <v>3.3908254723572359E-3</v>
      </c>
      <c r="C26" s="840"/>
      <c r="D26" s="840"/>
      <c r="E26" s="840"/>
    </row>
    <row r="27" spans="1:9" ht="30" customHeight="1" x14ac:dyDescent="0.25">
      <c r="A27" s="218" t="s">
        <v>24</v>
      </c>
      <c r="B27" s="853"/>
      <c r="C27" s="853"/>
      <c r="D27" s="853"/>
      <c r="E27" s="853"/>
    </row>
    <row r="28" spans="1:9" ht="30" customHeight="1" x14ac:dyDescent="0.25">
      <c r="A28" s="213" t="s">
        <v>418</v>
      </c>
      <c r="B28" s="853"/>
      <c r="C28" s="853"/>
      <c r="D28" s="853"/>
      <c r="E28" s="853"/>
    </row>
    <row r="30" spans="1:9" ht="23.25" customHeight="1" x14ac:dyDescent="0.25">
      <c r="B30" s="867" t="s">
        <v>530</v>
      </c>
      <c r="C30" s="867"/>
      <c r="D30" s="867"/>
      <c r="E30" s="143" t="s">
        <v>538</v>
      </c>
    </row>
    <row r="31" spans="1:9" ht="23.25" customHeight="1" x14ac:dyDescent="0.25">
      <c r="B31" s="864" t="s">
        <v>521</v>
      </c>
      <c r="C31" s="864"/>
      <c r="D31" s="864"/>
      <c r="E31" s="114"/>
      <c r="G31" s="866" t="s">
        <v>538</v>
      </c>
      <c r="H31" s="866"/>
      <c r="I31" s="866"/>
    </row>
    <row r="32" spans="1:9" ht="23.25" customHeight="1" x14ac:dyDescent="0.25">
      <c r="B32" s="864" t="s">
        <v>522</v>
      </c>
      <c r="C32" s="864"/>
      <c r="D32" s="864"/>
      <c r="E32" s="114"/>
      <c r="G32" s="252">
        <v>3</v>
      </c>
      <c r="H32" s="866" t="s">
        <v>535</v>
      </c>
      <c r="I32" s="866"/>
    </row>
    <row r="33" spans="2:9" ht="23.25" customHeight="1" x14ac:dyDescent="0.25">
      <c r="B33" s="864" t="s">
        <v>524</v>
      </c>
      <c r="C33" s="864"/>
      <c r="D33" s="864"/>
      <c r="E33" s="114"/>
      <c r="G33" s="252">
        <v>2</v>
      </c>
      <c r="H33" s="866" t="s">
        <v>536</v>
      </c>
      <c r="I33" s="866"/>
    </row>
    <row r="34" spans="2:9" ht="23.25" customHeight="1" x14ac:dyDescent="0.25">
      <c r="B34" s="864" t="s">
        <v>523</v>
      </c>
      <c r="C34" s="864"/>
      <c r="D34" s="864"/>
      <c r="E34" s="114"/>
      <c r="G34" s="252">
        <v>1</v>
      </c>
      <c r="H34" s="866" t="s">
        <v>537</v>
      </c>
      <c r="I34" s="866"/>
    </row>
    <row r="35" spans="2:9" ht="23.25" customHeight="1" x14ac:dyDescent="0.25">
      <c r="B35" s="864" t="s">
        <v>525</v>
      </c>
      <c r="C35" s="864"/>
      <c r="D35" s="864"/>
      <c r="E35" s="114"/>
    </row>
    <row r="36" spans="2:9" ht="23.25" customHeight="1" x14ac:dyDescent="0.25">
      <c r="B36" s="864" t="s">
        <v>526</v>
      </c>
      <c r="C36" s="864"/>
      <c r="D36" s="864"/>
      <c r="E36" s="114"/>
    </row>
    <row r="37" spans="2:9" ht="23.25" customHeight="1" x14ac:dyDescent="0.25">
      <c r="B37" s="864" t="s">
        <v>527</v>
      </c>
      <c r="C37" s="864"/>
      <c r="D37" s="864"/>
      <c r="E37" s="114"/>
    </row>
    <row r="38" spans="2:9" ht="23.25" customHeight="1" x14ac:dyDescent="0.25">
      <c r="B38" s="864" t="s">
        <v>528</v>
      </c>
      <c r="C38" s="864"/>
      <c r="D38" s="864"/>
      <c r="E38" s="114"/>
    </row>
    <row r="39" spans="2:9" ht="23.25" customHeight="1" x14ac:dyDescent="0.25">
      <c r="B39" s="864" t="s">
        <v>529</v>
      </c>
      <c r="C39" s="864"/>
      <c r="D39" s="864"/>
      <c r="E39" s="114"/>
      <c r="G39" s="863" t="s">
        <v>541</v>
      </c>
      <c r="H39" s="863"/>
      <c r="I39" s="863"/>
    </row>
    <row r="40" spans="2:9" ht="23.25" customHeight="1" x14ac:dyDescent="0.25">
      <c r="B40" s="865" t="s">
        <v>395</v>
      </c>
      <c r="C40" s="865"/>
      <c r="D40" s="865"/>
      <c r="E40" s="258">
        <f>SUM(E31:E39)</f>
        <v>0</v>
      </c>
      <c r="G40" s="254" t="s">
        <v>542</v>
      </c>
      <c r="H40" s="257" t="s">
        <v>543</v>
      </c>
      <c r="I40" s="254" t="s">
        <v>544</v>
      </c>
    </row>
    <row r="41" spans="2:9" ht="23.25" customHeight="1" x14ac:dyDescent="0.25">
      <c r="E41" s="202" t="s">
        <v>663</v>
      </c>
      <c r="G41" s="254" t="s">
        <v>545</v>
      </c>
      <c r="H41" s="254" t="s">
        <v>547</v>
      </c>
      <c r="I41" s="254" t="s">
        <v>546</v>
      </c>
    </row>
    <row r="43" spans="2:9" ht="23.25" customHeight="1" x14ac:dyDescent="0.25">
      <c r="B43" s="860" t="s">
        <v>520</v>
      </c>
      <c r="C43" s="861"/>
      <c r="D43" s="862"/>
      <c r="E43" s="251">
        <v>1</v>
      </c>
      <c r="G43" s="254">
        <v>1</v>
      </c>
      <c r="H43" s="254" t="s">
        <v>539</v>
      </c>
    </row>
    <row r="44" spans="2:9" ht="23.25" customHeight="1" x14ac:dyDescent="0.25">
      <c r="G44" s="254">
        <v>0</v>
      </c>
      <c r="H44" s="254" t="s">
        <v>540</v>
      </c>
    </row>
  </sheetData>
  <mergeCells count="45">
    <mergeCell ref="B12:E12"/>
    <mergeCell ref="A2:E2"/>
    <mergeCell ref="C4:D4"/>
    <mergeCell ref="G4:I4"/>
    <mergeCell ref="C5:D5"/>
    <mergeCell ref="G5:I5"/>
    <mergeCell ref="G6:I6"/>
    <mergeCell ref="B7:E7"/>
    <mergeCell ref="B8:E8"/>
    <mergeCell ref="B9:E9"/>
    <mergeCell ref="B10:E10"/>
    <mergeCell ref="B11:E11"/>
    <mergeCell ref="B24:E24"/>
    <mergeCell ref="B13:E13"/>
    <mergeCell ref="B14:E14"/>
    <mergeCell ref="B15:E15"/>
    <mergeCell ref="B16:E16"/>
    <mergeCell ref="B17:E17"/>
    <mergeCell ref="B18:E18"/>
    <mergeCell ref="B19:E19"/>
    <mergeCell ref="B20:E20"/>
    <mergeCell ref="B21:E21"/>
    <mergeCell ref="B22:E22"/>
    <mergeCell ref="B23:E23"/>
    <mergeCell ref="B25:E25"/>
    <mergeCell ref="B26:E26"/>
    <mergeCell ref="B27:E27"/>
    <mergeCell ref="B28:E28"/>
    <mergeCell ref="B30:D30"/>
    <mergeCell ref="G39:I39"/>
    <mergeCell ref="G31:I31"/>
    <mergeCell ref="B32:D32"/>
    <mergeCell ref="H32:I32"/>
    <mergeCell ref="B33:D33"/>
    <mergeCell ref="H33:I33"/>
    <mergeCell ref="B34:D34"/>
    <mergeCell ref="H34:I34"/>
    <mergeCell ref="B31:D31"/>
    <mergeCell ref="B40:D40"/>
    <mergeCell ref="B43:D43"/>
    <mergeCell ref="B35:D35"/>
    <mergeCell ref="B36:D36"/>
    <mergeCell ref="B37:D37"/>
    <mergeCell ref="B38:D38"/>
    <mergeCell ref="B39:D39"/>
  </mergeCells>
  <conditionalFormatting sqref="E5">
    <cfRule type="containsText" dxfId="212" priority="1" operator="containsText" text="Terminé">
      <formula>NOT(ISERROR(SEARCH("Terminé",E5)))</formula>
    </cfRule>
    <cfRule type="containsText" dxfId="211" priority="2" operator="containsText" text="En cours">
      <formula>NOT(ISERROR(SEARCH("En cours",E5)))</formula>
    </cfRule>
    <cfRule type="containsText" dxfId="210"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ESUME CRITERES"/>
    <hyperlink ref="G6" location="CALENDRIER!A1" display="Lien vers CALENDRIER"/>
  </hyperlink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CO2'!$U$3:$U$9</xm:f>
          </x14:formula1>
          <xm:sqref>C4:D4</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CO2'!$P$8:$P$12</xm:f>
          </x14:formula1>
          <xm:sqref>E5</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28"/>
  <sheetViews>
    <sheetView zoomScaleNormal="100" zoomScaleSheetLayoutView="100"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2" ht="21" x14ac:dyDescent="0.35">
      <c r="A1" s="11" t="s">
        <v>87</v>
      </c>
      <c r="B1" s="11"/>
      <c r="C1" s="11"/>
      <c r="D1" s="11"/>
      <c r="E1" s="11"/>
    </row>
    <row r="2" spans="1:12" ht="26.25" x14ac:dyDescent="0.4">
      <c r="A2" s="856" t="s">
        <v>913</v>
      </c>
      <c r="B2" s="856"/>
      <c r="C2" s="856"/>
      <c r="D2" s="856"/>
      <c r="E2" s="856"/>
    </row>
    <row r="3" spans="1:12" ht="27" thickBot="1" x14ac:dyDescent="0.45">
      <c r="A3" s="107"/>
      <c r="B3" s="107"/>
      <c r="C3" s="107"/>
      <c r="D3" s="107"/>
      <c r="E3" s="107"/>
    </row>
    <row r="4" spans="1:12" ht="15.75" thickBot="1" x14ac:dyDescent="0.3">
      <c r="A4" s="12"/>
      <c r="B4" s="233" t="s">
        <v>469</v>
      </c>
      <c r="C4" s="851" t="s">
        <v>35</v>
      </c>
      <c r="D4" s="852"/>
      <c r="E4" s="175" t="s">
        <v>90</v>
      </c>
      <c r="G4" s="848" t="s">
        <v>914</v>
      </c>
      <c r="H4" s="848"/>
      <c r="I4" s="848"/>
    </row>
    <row r="5" spans="1:12" ht="18.75" customHeight="1" x14ac:dyDescent="0.25">
      <c r="A5" s="381" t="s">
        <v>651</v>
      </c>
      <c r="B5" s="382" t="s">
        <v>652</v>
      </c>
      <c r="C5" s="820" t="s">
        <v>18</v>
      </c>
      <c r="D5" s="820"/>
      <c r="E5" s="232" t="s">
        <v>21</v>
      </c>
      <c r="G5" s="848" t="s">
        <v>915</v>
      </c>
      <c r="H5" s="848"/>
      <c r="I5" s="848"/>
    </row>
    <row r="6" spans="1:12" ht="16.5" thickBot="1" x14ac:dyDescent="0.3">
      <c r="A6" s="379" t="s">
        <v>660</v>
      </c>
      <c r="B6" s="380" t="s">
        <v>784</v>
      </c>
      <c r="C6" s="16"/>
      <c r="D6" s="16"/>
      <c r="E6" s="16"/>
      <c r="G6" s="850" t="s">
        <v>916</v>
      </c>
      <c r="H6" s="850"/>
      <c r="I6" s="850"/>
    </row>
    <row r="7" spans="1:12" ht="24" customHeight="1" thickBot="1" x14ac:dyDescent="0.3">
      <c r="A7" s="207" t="s">
        <v>1</v>
      </c>
      <c r="B7" s="820" t="s">
        <v>80</v>
      </c>
      <c r="C7" s="820"/>
      <c r="D7" s="820"/>
      <c r="E7" s="820"/>
    </row>
    <row r="8" spans="1:12" ht="24" customHeight="1" thickBot="1" x14ac:dyDescent="0.3">
      <c r="A8" s="207" t="s">
        <v>0</v>
      </c>
      <c r="B8" s="820" t="s">
        <v>81</v>
      </c>
      <c r="C8" s="820"/>
      <c r="D8" s="820"/>
      <c r="E8" s="820"/>
    </row>
    <row r="9" spans="1:12" ht="41.25" customHeight="1" x14ac:dyDescent="0.25">
      <c r="A9" s="208" t="s">
        <v>2</v>
      </c>
      <c r="B9" s="890" t="s">
        <v>151</v>
      </c>
      <c r="C9" s="890"/>
      <c r="D9" s="890"/>
      <c r="E9" s="890"/>
      <c r="G9" s="116" t="s">
        <v>224</v>
      </c>
      <c r="H9" s="117" t="s">
        <v>329</v>
      </c>
      <c r="I9" s="117" t="s">
        <v>561</v>
      </c>
      <c r="J9" s="117" t="s">
        <v>161</v>
      </c>
      <c r="K9" s="117" t="s">
        <v>330</v>
      </c>
      <c r="L9" s="117" t="s">
        <v>160</v>
      </c>
    </row>
    <row r="10" spans="1:12" ht="30.75" customHeight="1" x14ac:dyDescent="0.25">
      <c r="A10" s="208" t="s">
        <v>31</v>
      </c>
      <c r="B10" s="889"/>
      <c r="C10" s="889"/>
      <c r="D10" s="889"/>
      <c r="E10" s="889"/>
      <c r="G10" s="116">
        <v>11</v>
      </c>
      <c r="H10" s="117">
        <v>6</v>
      </c>
      <c r="I10" s="117">
        <v>437</v>
      </c>
      <c r="J10" s="117">
        <v>0.86</v>
      </c>
      <c r="K10" s="117">
        <v>65</v>
      </c>
      <c r="L10" s="117">
        <v>0.26100000000000001</v>
      </c>
    </row>
    <row r="11" spans="1:12" ht="30" customHeight="1" x14ac:dyDescent="0.25">
      <c r="A11" s="209" t="s">
        <v>16</v>
      </c>
      <c r="B11" s="874" t="s">
        <v>512</v>
      </c>
      <c r="C11" s="874"/>
      <c r="D11" s="874"/>
      <c r="E11" s="874"/>
    </row>
    <row r="12" spans="1:12" ht="30" customHeight="1" x14ac:dyDescent="0.25">
      <c r="A12" s="209" t="s">
        <v>3</v>
      </c>
      <c r="B12" s="874"/>
      <c r="C12" s="874"/>
      <c r="D12" s="874"/>
      <c r="E12" s="874"/>
      <c r="H12" s="243" t="s">
        <v>516</v>
      </c>
      <c r="I12" s="243" t="s">
        <v>517</v>
      </c>
    </row>
    <row r="13" spans="1:12" ht="30" customHeight="1" x14ac:dyDescent="0.25">
      <c r="A13" s="209" t="s">
        <v>17</v>
      </c>
      <c r="B13" s="874"/>
      <c r="C13" s="874"/>
      <c r="D13" s="874"/>
      <c r="E13" s="874"/>
      <c r="H13" s="243">
        <v>750</v>
      </c>
      <c r="I13" s="243">
        <v>1000</v>
      </c>
    </row>
    <row r="14" spans="1:12" ht="30" customHeight="1" x14ac:dyDescent="0.25">
      <c r="A14" s="209" t="s">
        <v>4</v>
      </c>
      <c r="B14" s="874">
        <v>2007</v>
      </c>
      <c r="C14" s="874"/>
      <c r="D14" s="874"/>
      <c r="E14" s="874"/>
    </row>
    <row r="15" spans="1:12" ht="30" customHeight="1" x14ac:dyDescent="0.25">
      <c r="A15" s="209" t="s">
        <v>5</v>
      </c>
      <c r="B15" s="874">
        <v>2014</v>
      </c>
      <c r="C15" s="874"/>
      <c r="D15" s="874"/>
      <c r="E15" s="874"/>
    </row>
    <row r="16" spans="1:12" ht="30" customHeight="1" x14ac:dyDescent="0.25">
      <c r="A16" s="209" t="s">
        <v>6</v>
      </c>
      <c r="B16" s="845">
        <f>G10*H10*H13</f>
        <v>49500</v>
      </c>
      <c r="C16" s="845"/>
      <c r="D16" s="845"/>
      <c r="E16" s="845"/>
    </row>
    <row r="17" spans="1:5" ht="30" customHeight="1" x14ac:dyDescent="0.25">
      <c r="A17" s="209" t="s">
        <v>7</v>
      </c>
      <c r="B17" s="845">
        <f>G10*I13</f>
        <v>11000</v>
      </c>
      <c r="C17" s="845"/>
      <c r="D17" s="845"/>
      <c r="E17" s="845"/>
    </row>
    <row r="18" spans="1:5" ht="30" customHeight="1" x14ac:dyDescent="0.25">
      <c r="A18" s="210" t="s">
        <v>468</v>
      </c>
      <c r="B18" s="868">
        <f>G10*H10*I10</f>
        <v>28842</v>
      </c>
      <c r="C18" s="869"/>
      <c r="D18" s="869"/>
      <c r="E18" s="869"/>
    </row>
    <row r="19" spans="1:5" ht="30" customHeight="1" x14ac:dyDescent="0.25">
      <c r="A19" s="238" t="s">
        <v>467</v>
      </c>
      <c r="B19" s="870">
        <f>G10*H10*I10</f>
        <v>28842</v>
      </c>
      <c r="C19" s="871"/>
      <c r="D19" s="871"/>
      <c r="E19" s="871"/>
    </row>
    <row r="20" spans="1:5" ht="30" customHeight="1" x14ac:dyDescent="0.25">
      <c r="A20" s="209" t="s">
        <v>8</v>
      </c>
      <c r="B20" s="845">
        <f>B18*J10/10</f>
        <v>2480.4119999999998</v>
      </c>
      <c r="C20" s="845"/>
      <c r="D20" s="845"/>
      <c r="E20" s="845"/>
    </row>
    <row r="21" spans="1:5" ht="30" customHeight="1" x14ac:dyDescent="0.25">
      <c r="A21" s="209" t="s">
        <v>9</v>
      </c>
      <c r="B21" s="845">
        <v>0</v>
      </c>
      <c r="C21" s="845"/>
      <c r="D21" s="845"/>
      <c r="E21" s="845"/>
    </row>
    <row r="22" spans="1:5" ht="30" customHeight="1" x14ac:dyDescent="0.25">
      <c r="A22" s="209" t="s">
        <v>465</v>
      </c>
      <c r="B22" s="846">
        <f>B16/(B20+B21)</f>
        <v>19.956362088233732</v>
      </c>
      <c r="C22" s="846"/>
      <c r="D22" s="846"/>
      <c r="E22" s="846"/>
    </row>
    <row r="23" spans="1:5" ht="30" customHeight="1" x14ac:dyDescent="0.25">
      <c r="A23" s="209" t="s">
        <v>466</v>
      </c>
      <c r="B23" s="847">
        <f>(B16-B17)/(B20+B21)</f>
        <v>15.521614957515125</v>
      </c>
      <c r="C23" s="847"/>
      <c r="D23" s="847"/>
      <c r="E23" s="847"/>
    </row>
    <row r="24" spans="1:5" ht="30" customHeight="1" x14ac:dyDescent="0.25">
      <c r="A24" s="211" t="s">
        <v>476</v>
      </c>
      <c r="B24" s="901">
        <f>B19/1000*L10</f>
        <v>7.5277620000000001</v>
      </c>
      <c r="C24" s="901"/>
      <c r="D24" s="901"/>
      <c r="E24" s="901"/>
    </row>
    <row r="25" spans="1:5" ht="30" customHeight="1" x14ac:dyDescent="0.25">
      <c r="A25" s="212" t="s">
        <v>463</v>
      </c>
      <c r="B25" s="881">
        <f>B24/'Objectifs CO2'!C12</f>
        <v>2.1816518922600728E-3</v>
      </c>
      <c r="C25" s="881"/>
      <c r="D25" s="881"/>
      <c r="E25" s="881"/>
    </row>
    <row r="26" spans="1:5" ht="30" customHeight="1" x14ac:dyDescent="0.25">
      <c r="A26" s="213" t="s">
        <v>464</v>
      </c>
      <c r="B26" s="881">
        <f>B24/'Objectifs CO2'!C8</f>
        <v>1.0908259461300364E-3</v>
      </c>
      <c r="C26" s="881"/>
      <c r="D26" s="881"/>
      <c r="E26" s="881"/>
    </row>
    <row r="27" spans="1:5" ht="30" customHeight="1" x14ac:dyDescent="0.25">
      <c r="A27" s="213" t="s">
        <v>24</v>
      </c>
      <c r="B27" s="853"/>
      <c r="C27" s="853"/>
      <c r="D27" s="853"/>
      <c r="E27" s="853"/>
    </row>
    <row r="28" spans="1:5" ht="30" customHeight="1" x14ac:dyDescent="0.25">
      <c r="A28" s="213" t="s">
        <v>418</v>
      </c>
      <c r="B28" s="853"/>
      <c r="C28" s="853"/>
      <c r="D28" s="853"/>
      <c r="E28" s="853"/>
    </row>
  </sheetData>
  <mergeCells count="28">
    <mergeCell ref="B28:E28"/>
    <mergeCell ref="B10:E10"/>
    <mergeCell ref="A2:E2"/>
    <mergeCell ref="B7:E7"/>
    <mergeCell ref="B8:E8"/>
    <mergeCell ref="B9:E9"/>
    <mergeCell ref="C5:D5"/>
    <mergeCell ref="B25:E25"/>
    <mergeCell ref="B26:E26"/>
    <mergeCell ref="B27:E27"/>
    <mergeCell ref="B22:E22"/>
    <mergeCell ref="B23:E23"/>
    <mergeCell ref="B24:E24"/>
    <mergeCell ref="B17:E17"/>
    <mergeCell ref="B18:E18"/>
    <mergeCell ref="B20:E20"/>
    <mergeCell ref="G4:I4"/>
    <mergeCell ref="G5:I5"/>
    <mergeCell ref="B21:E21"/>
    <mergeCell ref="B11:E11"/>
    <mergeCell ref="B12:E12"/>
    <mergeCell ref="B13:E13"/>
    <mergeCell ref="B14:E14"/>
    <mergeCell ref="B15:E15"/>
    <mergeCell ref="B16:E16"/>
    <mergeCell ref="B19:E19"/>
    <mergeCell ref="G6:I6"/>
    <mergeCell ref="C4:D4"/>
  </mergeCells>
  <conditionalFormatting sqref="E5">
    <cfRule type="containsText" dxfId="209" priority="1" operator="containsText" text="Terminé">
      <formula>NOT(ISERROR(SEARCH("Terminé",E5)))</formula>
    </cfRule>
    <cfRule type="containsText" dxfId="208" priority="2" operator="containsText" text="En cours">
      <formula>NOT(ISERROR(SEARCH("En cours",E5)))</formula>
    </cfRule>
    <cfRule type="containsText" dxfId="207" priority="3" operator="containsText" text="A faire">
      <formula>NOT(ISERROR(SEARCH("A faire",E5)))</formula>
    </cfRule>
  </conditionalFormatting>
  <hyperlinks>
    <hyperlink ref="G4:I4" location="'Objectifs CO2'!A1" display="Lien vers Objectifs CO2"/>
    <hyperlink ref="G5:I5" location="'Synthèse CO2'!A1" display="Lien synthèse CO2"/>
    <hyperlink ref="G6" location="CALENDRIER!A1" display="Lien vers CALENDRIER"/>
  </hyperlinks>
  <pageMargins left="0.7" right="0.7" top="0.75" bottom="0.75" header="0.3" footer="0.3"/>
  <pageSetup paperSize="9" scale="90" orientation="portrait" horizontalDpi="300" verticalDpi="300"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28"/>
  <sheetViews>
    <sheetView zoomScaleNormal="100" zoomScaleSheetLayoutView="106"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3" ht="21" x14ac:dyDescent="0.35">
      <c r="A1" s="11" t="s">
        <v>87</v>
      </c>
      <c r="B1" s="11"/>
      <c r="C1" s="11"/>
      <c r="D1" s="11"/>
      <c r="E1" s="11"/>
    </row>
    <row r="2" spans="1:13" ht="26.25" x14ac:dyDescent="0.4">
      <c r="A2" s="856" t="s">
        <v>913</v>
      </c>
      <c r="B2" s="856"/>
      <c r="C2" s="856"/>
      <c r="D2" s="856"/>
      <c r="E2" s="856"/>
    </row>
    <row r="3" spans="1:13" ht="27" thickBot="1" x14ac:dyDescent="0.45">
      <c r="A3" s="38"/>
      <c r="B3" s="38"/>
      <c r="C3" s="38"/>
      <c r="D3" s="38"/>
      <c r="E3" s="38"/>
    </row>
    <row r="4" spans="1:13" ht="15.75" thickBot="1" x14ac:dyDescent="0.3">
      <c r="A4" s="12"/>
      <c r="B4" s="233" t="s">
        <v>469</v>
      </c>
      <c r="C4" s="851" t="s">
        <v>35</v>
      </c>
      <c r="D4" s="852"/>
      <c r="E4" s="175" t="s">
        <v>92</v>
      </c>
      <c r="G4" s="848" t="s">
        <v>914</v>
      </c>
      <c r="H4" s="848"/>
      <c r="I4" s="848"/>
    </row>
    <row r="5" spans="1:13" ht="18.75" customHeight="1" x14ac:dyDescent="0.25">
      <c r="A5" s="381" t="s">
        <v>651</v>
      </c>
      <c r="B5" s="382" t="s">
        <v>652</v>
      </c>
      <c r="C5" s="820" t="s">
        <v>18</v>
      </c>
      <c r="D5" s="820"/>
      <c r="E5" s="232" t="s">
        <v>21</v>
      </c>
      <c r="G5" s="848" t="s">
        <v>915</v>
      </c>
      <c r="H5" s="848"/>
      <c r="I5" s="848"/>
    </row>
    <row r="6" spans="1:13" ht="16.5" thickBot="1" x14ac:dyDescent="0.3">
      <c r="A6" s="379" t="s">
        <v>660</v>
      </c>
      <c r="B6" s="380" t="s">
        <v>28</v>
      </c>
      <c r="C6" s="16"/>
      <c r="D6" s="16"/>
      <c r="E6" s="16"/>
      <c r="G6" s="850" t="s">
        <v>916</v>
      </c>
      <c r="H6" s="850"/>
      <c r="I6" s="850"/>
    </row>
    <row r="7" spans="1:13" ht="24" customHeight="1" thickBot="1" x14ac:dyDescent="0.3">
      <c r="A7" s="207" t="s">
        <v>1</v>
      </c>
      <c r="B7" s="820" t="s">
        <v>82</v>
      </c>
      <c r="C7" s="820"/>
      <c r="D7" s="820"/>
      <c r="E7" s="820"/>
    </row>
    <row r="8" spans="1:13" ht="24" customHeight="1" thickBot="1" x14ac:dyDescent="0.3">
      <c r="A8" s="207" t="s">
        <v>0</v>
      </c>
      <c r="B8" s="820" t="s">
        <v>85</v>
      </c>
      <c r="C8" s="820"/>
      <c r="D8" s="820"/>
      <c r="E8" s="820"/>
    </row>
    <row r="9" spans="1:13" ht="33.75" customHeight="1" x14ac:dyDescent="0.25">
      <c r="A9" s="208" t="s">
        <v>2</v>
      </c>
      <c r="B9" s="890" t="s">
        <v>65</v>
      </c>
      <c r="C9" s="890"/>
      <c r="D9" s="890"/>
      <c r="E9" s="890"/>
      <c r="G9" s="116" t="s">
        <v>325</v>
      </c>
      <c r="H9" s="116" t="s">
        <v>326</v>
      </c>
      <c r="I9" s="116" t="s">
        <v>327</v>
      </c>
      <c r="J9" s="117" t="s">
        <v>328</v>
      </c>
      <c r="K9" s="117" t="s">
        <v>235</v>
      </c>
      <c r="L9" s="117" t="s">
        <v>272</v>
      </c>
      <c r="M9" s="117" t="s">
        <v>331</v>
      </c>
    </row>
    <row r="10" spans="1:13" ht="33.75" customHeight="1" x14ac:dyDescent="0.25">
      <c r="A10" s="208" t="s">
        <v>31</v>
      </c>
      <c r="B10" s="889" t="s">
        <v>519</v>
      </c>
      <c r="C10" s="889"/>
      <c r="D10" s="889"/>
      <c r="E10" s="889"/>
      <c r="G10" s="116">
        <v>2870</v>
      </c>
      <c r="H10" s="116">
        <f>G10*M10</f>
        <v>2439500</v>
      </c>
      <c r="I10" s="116">
        <v>2.2000000000000002</v>
      </c>
      <c r="J10" s="117">
        <v>0.24</v>
      </c>
      <c r="K10" s="117">
        <v>65</v>
      </c>
      <c r="L10" s="117">
        <v>0.36499999999999999</v>
      </c>
      <c r="M10" s="146">
        <v>850</v>
      </c>
    </row>
    <row r="11" spans="1:13" ht="30" customHeight="1" x14ac:dyDescent="0.25">
      <c r="A11" s="209" t="s">
        <v>16</v>
      </c>
      <c r="B11" s="874" t="s">
        <v>512</v>
      </c>
      <c r="C11" s="874"/>
      <c r="D11" s="874"/>
      <c r="E11" s="874"/>
    </row>
    <row r="12" spans="1:13" ht="30" customHeight="1" x14ac:dyDescent="0.25">
      <c r="A12" s="209" t="s">
        <v>3</v>
      </c>
      <c r="B12" s="874"/>
      <c r="C12" s="874"/>
      <c r="D12" s="874"/>
      <c r="E12" s="874"/>
    </row>
    <row r="13" spans="1:13" ht="30" customHeight="1" x14ac:dyDescent="0.25">
      <c r="A13" s="209" t="s">
        <v>17</v>
      </c>
      <c r="B13" s="874"/>
      <c r="C13" s="874"/>
      <c r="D13" s="874"/>
      <c r="E13" s="874"/>
    </row>
    <row r="14" spans="1:13" ht="30" customHeight="1" x14ac:dyDescent="0.25">
      <c r="A14" s="209" t="s">
        <v>4</v>
      </c>
      <c r="B14" s="874">
        <v>2007</v>
      </c>
      <c r="C14" s="874"/>
      <c r="D14" s="874"/>
      <c r="E14" s="874"/>
    </row>
    <row r="15" spans="1:13" ht="30" customHeight="1" x14ac:dyDescent="0.25">
      <c r="A15" s="209" t="s">
        <v>5</v>
      </c>
      <c r="B15" s="874">
        <v>2014</v>
      </c>
      <c r="C15" s="874"/>
      <c r="D15" s="874"/>
      <c r="E15" s="874"/>
    </row>
    <row r="16" spans="1:13" ht="30" customHeight="1" x14ac:dyDescent="0.25">
      <c r="A16" s="209" t="s">
        <v>6</v>
      </c>
      <c r="B16" s="845">
        <f>G10*1000*I10</f>
        <v>6314000.0000000009</v>
      </c>
      <c r="C16" s="845"/>
      <c r="D16" s="845"/>
      <c r="E16" s="845"/>
    </row>
    <row r="17" spans="1:6" ht="30" customHeight="1" x14ac:dyDescent="0.25">
      <c r="A17" s="209" t="s">
        <v>7</v>
      </c>
      <c r="B17" s="845">
        <v>0</v>
      </c>
      <c r="C17" s="845"/>
      <c r="D17" s="845"/>
      <c r="E17" s="845"/>
    </row>
    <row r="18" spans="1:6" ht="30" customHeight="1" x14ac:dyDescent="0.25">
      <c r="A18" s="210" t="s">
        <v>468</v>
      </c>
      <c r="B18" s="868"/>
      <c r="C18" s="869"/>
      <c r="D18" s="869"/>
      <c r="E18" s="869"/>
    </row>
    <row r="19" spans="1:6" ht="30" customHeight="1" x14ac:dyDescent="0.25">
      <c r="A19" s="238" t="s">
        <v>467</v>
      </c>
      <c r="B19" s="870">
        <f>H10</f>
        <v>2439500</v>
      </c>
      <c r="C19" s="871"/>
      <c r="D19" s="871"/>
      <c r="E19" s="871"/>
    </row>
    <row r="20" spans="1:6" ht="30" customHeight="1" x14ac:dyDescent="0.25">
      <c r="A20" s="209" t="s">
        <v>8</v>
      </c>
      <c r="B20" s="845">
        <f>B19*J10</f>
        <v>585480</v>
      </c>
      <c r="C20" s="845"/>
      <c r="D20" s="845"/>
      <c r="E20" s="845"/>
    </row>
    <row r="21" spans="1:6" ht="30" customHeight="1" x14ac:dyDescent="0.25">
      <c r="A21" s="209" t="s">
        <v>9</v>
      </c>
      <c r="B21" s="845">
        <f>B19/1000*K10*4</f>
        <v>634270</v>
      </c>
      <c r="C21" s="845"/>
      <c r="D21" s="845"/>
      <c r="E21" s="845"/>
    </row>
    <row r="22" spans="1:6" ht="30" customHeight="1" x14ac:dyDescent="0.25">
      <c r="A22" s="209" t="s">
        <v>465</v>
      </c>
      <c r="B22" s="846">
        <f>B16/(B20+B21)</f>
        <v>5.1764705882352953</v>
      </c>
      <c r="C22" s="846"/>
      <c r="D22" s="846"/>
      <c r="E22" s="846"/>
    </row>
    <row r="23" spans="1:6" ht="30" customHeight="1" x14ac:dyDescent="0.25">
      <c r="A23" s="209" t="s">
        <v>466</v>
      </c>
      <c r="B23" s="847">
        <f>(B16-B17)/(B20+B21)</f>
        <v>5.1764705882352953</v>
      </c>
      <c r="C23" s="847"/>
      <c r="D23" s="847"/>
      <c r="E23" s="847"/>
    </row>
    <row r="24" spans="1:6" ht="30" customHeight="1" x14ac:dyDescent="0.25">
      <c r="A24" s="211" t="s">
        <v>476</v>
      </c>
      <c r="B24" s="901">
        <f>B19/1000*L10</f>
        <v>890.41750000000002</v>
      </c>
      <c r="C24" s="901"/>
      <c r="D24" s="901"/>
      <c r="E24" s="901"/>
      <c r="F24" s="37">
        <v>0.2009</v>
      </c>
    </row>
    <row r="25" spans="1:6" ht="30" customHeight="1" x14ac:dyDescent="0.25">
      <c r="A25" s="212" t="s">
        <v>463</v>
      </c>
      <c r="B25" s="881">
        <f>B24/'Objectifs CO2'!C12</f>
        <v>0.25805558461817518</v>
      </c>
      <c r="C25" s="881"/>
      <c r="D25" s="881"/>
      <c r="E25" s="881"/>
    </row>
    <row r="26" spans="1:6" ht="30" customHeight="1" x14ac:dyDescent="0.25">
      <c r="A26" s="213" t="s">
        <v>464</v>
      </c>
      <c r="B26" s="881">
        <f>B24/'Objectifs CO2'!C8</f>
        <v>0.12902779230908759</v>
      </c>
      <c r="C26" s="881"/>
      <c r="D26" s="881"/>
      <c r="E26" s="881"/>
    </row>
    <row r="27" spans="1:6" ht="30" customHeight="1" x14ac:dyDescent="0.25">
      <c r="A27" s="213" t="s">
        <v>24</v>
      </c>
      <c r="B27" s="853" t="s">
        <v>10</v>
      </c>
      <c r="C27" s="853"/>
      <c r="D27" s="853"/>
      <c r="E27" s="853"/>
      <c r="F27" s="84"/>
    </row>
    <row r="28" spans="1:6" ht="30" customHeight="1" x14ac:dyDescent="0.25">
      <c r="A28" s="213" t="s">
        <v>418</v>
      </c>
      <c r="B28" s="853"/>
      <c r="C28" s="853"/>
      <c r="D28" s="853"/>
      <c r="E28" s="853"/>
    </row>
  </sheetData>
  <mergeCells count="28">
    <mergeCell ref="B28:E28"/>
    <mergeCell ref="B27:E27"/>
    <mergeCell ref="B21:E21"/>
    <mergeCell ref="A2:E2"/>
    <mergeCell ref="B7:E7"/>
    <mergeCell ref="B8:E8"/>
    <mergeCell ref="B9:E9"/>
    <mergeCell ref="C5:D5"/>
    <mergeCell ref="B26:E26"/>
    <mergeCell ref="B10:E10"/>
    <mergeCell ref="B23:E23"/>
    <mergeCell ref="B24:E24"/>
    <mergeCell ref="B25:E25"/>
    <mergeCell ref="B22:E22"/>
    <mergeCell ref="B11:E11"/>
    <mergeCell ref="B17:E17"/>
    <mergeCell ref="G4:I4"/>
    <mergeCell ref="G5:I5"/>
    <mergeCell ref="B18:E18"/>
    <mergeCell ref="B20:E20"/>
    <mergeCell ref="B12:E12"/>
    <mergeCell ref="B13:E13"/>
    <mergeCell ref="B14:E14"/>
    <mergeCell ref="B15:E15"/>
    <mergeCell ref="B16:E16"/>
    <mergeCell ref="B19:E19"/>
    <mergeCell ref="G6:I6"/>
    <mergeCell ref="C4:D4"/>
  </mergeCells>
  <conditionalFormatting sqref="E5">
    <cfRule type="containsText" dxfId="206" priority="1" operator="containsText" text="Terminé">
      <formula>NOT(ISERROR(SEARCH("Terminé",E5)))</formula>
    </cfRule>
    <cfRule type="containsText" dxfId="205" priority="2" operator="containsText" text="En cours">
      <formula>NOT(ISERROR(SEARCH("En cours",E5)))</formula>
    </cfRule>
    <cfRule type="containsText" dxfId="204" priority="3" operator="containsText" text="A faire">
      <formula>NOT(ISERROR(SEARCH("A faire",E5)))</formula>
    </cfRule>
  </conditionalFormatting>
  <hyperlinks>
    <hyperlink ref="G4:I4" location="'Objectifs CO2'!A1" display="Lien vers Objectifs CO2"/>
    <hyperlink ref="G5:I5" location="'Synthèse CO2'!A1" display="Lien synthèse CO2"/>
    <hyperlink ref="G6" location="CALENDRIER!A1" display="Lien vers CALENDRIER"/>
  </hyperlinks>
  <pageMargins left="0.31496062992125984" right="0.11811023622047245" top="0.74803149606299213" bottom="0.74803149606299213" header="0.31496062992125984" footer="0.31496062992125984"/>
  <pageSetup paperSize="9" scale="96"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M44"/>
  <sheetViews>
    <sheetView zoomScaleNormal="100" zoomScaleSheetLayoutView="110"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3" ht="21" x14ac:dyDescent="0.35">
      <c r="A1" s="11" t="s">
        <v>87</v>
      </c>
      <c r="B1" s="11"/>
      <c r="C1" s="11"/>
      <c r="D1" s="11"/>
      <c r="E1" s="11"/>
    </row>
    <row r="2" spans="1:13" ht="26.25" x14ac:dyDescent="0.4">
      <c r="A2" s="856" t="s">
        <v>913</v>
      </c>
      <c r="B2" s="856"/>
      <c r="C2" s="856"/>
      <c r="D2" s="856"/>
      <c r="E2" s="856"/>
    </row>
    <row r="3" spans="1:13" ht="27" thickBot="1" x14ac:dyDescent="0.45">
      <c r="A3" s="206"/>
      <c r="B3" s="206"/>
      <c r="C3" s="206"/>
      <c r="D3" s="206"/>
      <c r="E3" s="206"/>
    </row>
    <row r="4" spans="1:13" ht="24" customHeight="1" thickBot="1" x14ac:dyDescent="0.3">
      <c r="A4" s="12"/>
      <c r="B4" s="233" t="s">
        <v>469</v>
      </c>
      <c r="C4" s="851" t="s">
        <v>41</v>
      </c>
      <c r="D4" s="852"/>
      <c r="E4" s="175" t="s">
        <v>693</v>
      </c>
      <c r="G4" s="848" t="s">
        <v>914</v>
      </c>
      <c r="H4" s="848"/>
      <c r="I4" s="848"/>
    </row>
    <row r="5" spans="1:13" ht="24" customHeight="1" x14ac:dyDescent="0.25">
      <c r="A5" s="381" t="s">
        <v>651</v>
      </c>
      <c r="B5" s="382" t="s">
        <v>50</v>
      </c>
      <c r="C5" s="820" t="s">
        <v>18</v>
      </c>
      <c r="D5" s="820"/>
      <c r="E5" s="232" t="s">
        <v>21</v>
      </c>
      <c r="G5" s="848" t="s">
        <v>915</v>
      </c>
      <c r="H5" s="848"/>
      <c r="I5" s="848"/>
    </row>
    <row r="6" spans="1:13" ht="16.5" thickBot="1" x14ac:dyDescent="0.3">
      <c r="A6" s="379" t="s">
        <v>660</v>
      </c>
      <c r="B6" s="380" t="s">
        <v>28</v>
      </c>
      <c r="G6" s="850" t="s">
        <v>916</v>
      </c>
      <c r="H6" s="850"/>
      <c r="I6" s="850"/>
    </row>
    <row r="7" spans="1:13" ht="24" customHeight="1" thickBot="1" x14ac:dyDescent="0.3">
      <c r="A7" s="207" t="s">
        <v>1</v>
      </c>
      <c r="B7" s="820" t="s">
        <v>600</v>
      </c>
      <c r="C7" s="820"/>
      <c r="D7" s="820"/>
      <c r="E7" s="820"/>
    </row>
    <row r="8" spans="1:13" ht="24" customHeight="1" thickBot="1" x14ac:dyDescent="0.3">
      <c r="A8" s="207" t="s">
        <v>0</v>
      </c>
      <c r="B8" s="820" t="s">
        <v>598</v>
      </c>
      <c r="C8" s="820"/>
      <c r="D8" s="820"/>
      <c r="E8" s="820"/>
    </row>
    <row r="9" spans="1:13" ht="30" x14ac:dyDescent="0.25">
      <c r="A9" s="208" t="s">
        <v>2</v>
      </c>
      <c r="B9" s="890"/>
      <c r="C9" s="889"/>
      <c r="D9" s="889"/>
      <c r="E9" s="889"/>
      <c r="G9" s="116" t="s">
        <v>325</v>
      </c>
      <c r="H9" s="116" t="s">
        <v>326</v>
      </c>
      <c r="I9" s="116" t="s">
        <v>327</v>
      </c>
      <c r="J9" s="117" t="s">
        <v>328</v>
      </c>
      <c r="K9" s="117" t="s">
        <v>235</v>
      </c>
      <c r="L9" s="117" t="s">
        <v>272</v>
      </c>
      <c r="M9" s="117" t="s">
        <v>331</v>
      </c>
    </row>
    <row r="10" spans="1:13" ht="15.75" x14ac:dyDescent="0.25">
      <c r="A10" s="208" t="s">
        <v>31</v>
      </c>
      <c r="B10" s="889"/>
      <c r="C10" s="889"/>
      <c r="D10" s="889"/>
      <c r="E10" s="889"/>
      <c r="G10" s="116">
        <v>65</v>
      </c>
      <c r="H10" s="116">
        <f>G10*M10</f>
        <v>55250</v>
      </c>
      <c r="I10" s="116">
        <v>2.2000000000000002</v>
      </c>
      <c r="J10" s="117">
        <v>0.24</v>
      </c>
      <c r="K10" s="117">
        <v>65</v>
      </c>
      <c r="L10" s="117">
        <v>0.36499999999999999</v>
      </c>
      <c r="M10" s="146">
        <v>850</v>
      </c>
    </row>
    <row r="11" spans="1:13" ht="30" customHeight="1" x14ac:dyDescent="0.25">
      <c r="A11" s="209" t="s">
        <v>16</v>
      </c>
      <c r="B11" s="874" t="s">
        <v>41</v>
      </c>
      <c r="C11" s="874"/>
      <c r="D11" s="874"/>
      <c r="E11" s="874"/>
    </row>
    <row r="12" spans="1:13" ht="30" customHeight="1" x14ac:dyDescent="0.25">
      <c r="A12" s="209" t="s">
        <v>3</v>
      </c>
      <c r="B12" s="874" t="s">
        <v>761</v>
      </c>
      <c r="C12" s="874"/>
      <c r="D12" s="874"/>
      <c r="E12" s="874"/>
    </row>
    <row r="13" spans="1:13" ht="30" customHeight="1" x14ac:dyDescent="0.25">
      <c r="A13" s="209" t="s">
        <v>17</v>
      </c>
      <c r="B13" s="874"/>
      <c r="C13" s="874"/>
      <c r="D13" s="874"/>
      <c r="E13" s="874"/>
    </row>
    <row r="14" spans="1:13" ht="30" customHeight="1" x14ac:dyDescent="0.25">
      <c r="A14" s="209" t="s">
        <v>4</v>
      </c>
      <c r="B14" s="874">
        <v>2014</v>
      </c>
      <c r="C14" s="874"/>
      <c r="D14" s="874"/>
      <c r="E14" s="874"/>
    </row>
    <row r="15" spans="1:13" ht="30" customHeight="1" x14ac:dyDescent="0.25">
      <c r="A15" s="209" t="s">
        <v>5</v>
      </c>
      <c r="B15" s="874">
        <v>2014</v>
      </c>
      <c r="C15" s="874"/>
      <c r="D15" s="874"/>
      <c r="E15" s="874"/>
    </row>
    <row r="16" spans="1:13" ht="30" customHeight="1" x14ac:dyDescent="0.25">
      <c r="A16" s="209" t="s">
        <v>6</v>
      </c>
      <c r="B16" s="845">
        <f>G10*1000*I10</f>
        <v>143000</v>
      </c>
      <c r="C16" s="845"/>
      <c r="D16" s="845"/>
      <c r="E16" s="845"/>
    </row>
    <row r="17" spans="1:9" ht="30" customHeight="1" x14ac:dyDescent="0.25">
      <c r="A17" s="209" t="s">
        <v>7</v>
      </c>
      <c r="B17" s="845"/>
      <c r="C17" s="845"/>
      <c r="D17" s="845"/>
      <c r="E17" s="845"/>
    </row>
    <row r="18" spans="1:9" ht="30" customHeight="1" x14ac:dyDescent="0.25">
      <c r="A18" s="210" t="s">
        <v>468</v>
      </c>
      <c r="B18" s="868"/>
      <c r="C18" s="869"/>
      <c r="D18" s="869"/>
      <c r="E18" s="869"/>
      <c r="G18" s="2"/>
      <c r="H18" s="2"/>
    </row>
    <row r="19" spans="1:9" ht="30" customHeight="1" x14ac:dyDescent="0.25">
      <c r="A19" s="238" t="s">
        <v>467</v>
      </c>
      <c r="B19" s="870">
        <f>H10</f>
        <v>55250</v>
      </c>
      <c r="C19" s="871"/>
      <c r="D19" s="871"/>
      <c r="E19" s="871"/>
      <c r="G19" s="2"/>
      <c r="H19" s="2"/>
    </row>
    <row r="20" spans="1:9" ht="30" customHeight="1" x14ac:dyDescent="0.25">
      <c r="A20" s="209" t="s">
        <v>8</v>
      </c>
      <c r="B20" s="845">
        <f>B19*J10</f>
        <v>13260</v>
      </c>
      <c r="C20" s="845"/>
      <c r="D20" s="845"/>
      <c r="E20" s="845"/>
    </row>
    <row r="21" spans="1:9" ht="30" customHeight="1" x14ac:dyDescent="0.25">
      <c r="A21" s="209" t="s">
        <v>9</v>
      </c>
      <c r="B21" s="845">
        <f>B19/1000*K10</f>
        <v>3591.25</v>
      </c>
      <c r="C21" s="845"/>
      <c r="D21" s="845"/>
      <c r="E21" s="845"/>
    </row>
    <row r="22" spans="1:9" ht="30" customHeight="1" x14ac:dyDescent="0.25">
      <c r="A22" s="209" t="s">
        <v>465</v>
      </c>
      <c r="B22" s="846">
        <f>B16/(B20+B21)</f>
        <v>8.486017357762778</v>
      </c>
      <c r="C22" s="846"/>
      <c r="D22" s="846"/>
      <c r="E22" s="846"/>
    </row>
    <row r="23" spans="1:9" ht="30" customHeight="1" x14ac:dyDescent="0.25">
      <c r="A23" s="209" t="s">
        <v>466</v>
      </c>
      <c r="B23" s="847">
        <f>(B16-B17)/(B20+B21)</f>
        <v>8.486017357762778</v>
      </c>
      <c r="C23" s="847"/>
      <c r="D23" s="847"/>
      <c r="E23" s="847"/>
    </row>
    <row r="24" spans="1:9" ht="30" customHeight="1" x14ac:dyDescent="0.25">
      <c r="A24" s="211" t="s">
        <v>476</v>
      </c>
      <c r="B24" s="901">
        <f>B19/1000*L10</f>
        <v>20.166249999999998</v>
      </c>
      <c r="C24" s="901"/>
      <c r="D24" s="901"/>
      <c r="E24" s="901"/>
    </row>
    <row r="25" spans="1:9" ht="30" customHeight="1" x14ac:dyDescent="0.25">
      <c r="A25" s="212" t="s">
        <v>463</v>
      </c>
      <c r="B25" s="881">
        <f>B24/'Objectifs CO2'!C13</f>
        <v>0.14611161149983784</v>
      </c>
      <c r="C25" s="881"/>
      <c r="D25" s="881"/>
      <c r="E25" s="881"/>
    </row>
    <row r="26" spans="1:9" ht="30" customHeight="1" x14ac:dyDescent="0.25">
      <c r="A26" s="213" t="s">
        <v>464</v>
      </c>
      <c r="B26" s="881">
        <f>B24/'Objectifs CO2'!C8</f>
        <v>2.9222322299967568E-3</v>
      </c>
      <c r="C26" s="881"/>
      <c r="D26" s="881"/>
      <c r="E26" s="881"/>
    </row>
    <row r="27" spans="1:9" ht="30" customHeight="1" x14ac:dyDescent="0.25">
      <c r="A27" s="213" t="s">
        <v>24</v>
      </c>
      <c r="B27" s="902" t="s">
        <v>844</v>
      </c>
      <c r="C27" s="903"/>
      <c r="D27" s="903"/>
      <c r="E27" s="904"/>
    </row>
    <row r="28" spans="1:9" ht="30" customHeight="1" x14ac:dyDescent="0.25">
      <c r="A28" s="213" t="s">
        <v>418</v>
      </c>
      <c r="B28" s="853"/>
      <c r="C28" s="853"/>
      <c r="D28" s="853"/>
      <c r="E28" s="853"/>
    </row>
    <row r="30" spans="1:9" x14ac:dyDescent="0.25">
      <c r="B30" s="867" t="s">
        <v>530</v>
      </c>
      <c r="C30" s="867"/>
      <c r="D30" s="867"/>
      <c r="E30" s="143" t="s">
        <v>538</v>
      </c>
    </row>
    <row r="31" spans="1:9" x14ac:dyDescent="0.25">
      <c r="B31" s="864" t="s">
        <v>521</v>
      </c>
      <c r="C31" s="864"/>
      <c r="D31" s="864"/>
      <c r="E31" s="114"/>
      <c r="G31" s="866" t="s">
        <v>538</v>
      </c>
      <c r="H31" s="866"/>
      <c r="I31" s="866"/>
    </row>
    <row r="32" spans="1:9" x14ac:dyDescent="0.25">
      <c r="B32" s="864" t="s">
        <v>522</v>
      </c>
      <c r="C32" s="864"/>
      <c r="D32" s="864"/>
      <c r="E32" s="114"/>
      <c r="G32" s="252">
        <v>3</v>
      </c>
      <c r="H32" s="866" t="s">
        <v>535</v>
      </c>
      <c r="I32" s="866"/>
    </row>
    <row r="33" spans="2:9" x14ac:dyDescent="0.25">
      <c r="B33" s="864" t="s">
        <v>524</v>
      </c>
      <c r="C33" s="864"/>
      <c r="D33" s="864"/>
      <c r="E33" s="114"/>
      <c r="G33" s="252">
        <v>2</v>
      </c>
      <c r="H33" s="866" t="s">
        <v>536</v>
      </c>
      <c r="I33" s="866"/>
    </row>
    <row r="34" spans="2:9" x14ac:dyDescent="0.25">
      <c r="B34" s="864" t="s">
        <v>523</v>
      </c>
      <c r="C34" s="864"/>
      <c r="D34" s="864"/>
      <c r="E34" s="114"/>
      <c r="G34" s="252">
        <v>1</v>
      </c>
      <c r="H34" s="866" t="s">
        <v>537</v>
      </c>
      <c r="I34" s="866"/>
    </row>
    <row r="35" spans="2:9" x14ac:dyDescent="0.25">
      <c r="B35" s="864" t="s">
        <v>525</v>
      </c>
      <c r="C35" s="864"/>
      <c r="D35" s="864"/>
      <c r="E35" s="114"/>
    </row>
    <row r="36" spans="2:9" x14ac:dyDescent="0.25">
      <c r="B36" s="864" t="s">
        <v>526</v>
      </c>
      <c r="C36" s="864"/>
      <c r="D36" s="864"/>
      <c r="E36" s="114"/>
    </row>
    <row r="37" spans="2:9" x14ac:dyDescent="0.25">
      <c r="B37" s="864" t="s">
        <v>527</v>
      </c>
      <c r="C37" s="864"/>
      <c r="D37" s="864"/>
      <c r="E37" s="114"/>
    </row>
    <row r="38" spans="2:9" x14ac:dyDescent="0.25">
      <c r="B38" s="864" t="s">
        <v>528</v>
      </c>
      <c r="C38" s="864"/>
      <c r="D38" s="864"/>
      <c r="E38" s="114"/>
    </row>
    <row r="39" spans="2:9" x14ac:dyDescent="0.25">
      <c r="B39" s="864" t="s">
        <v>529</v>
      </c>
      <c r="C39" s="864"/>
      <c r="D39" s="864"/>
      <c r="E39" s="114"/>
      <c r="G39" s="863" t="s">
        <v>541</v>
      </c>
      <c r="H39" s="863"/>
      <c r="I39" s="863"/>
    </row>
    <row r="40" spans="2:9" x14ac:dyDescent="0.25">
      <c r="B40" s="865" t="s">
        <v>395</v>
      </c>
      <c r="C40" s="865"/>
      <c r="D40" s="865"/>
      <c r="E40" s="258">
        <f>SUM(E31:E39)</f>
        <v>0</v>
      </c>
      <c r="G40" s="254" t="s">
        <v>542</v>
      </c>
      <c r="H40" s="257" t="s">
        <v>543</v>
      </c>
      <c r="I40" s="254" t="s">
        <v>544</v>
      </c>
    </row>
    <row r="41" spans="2:9" x14ac:dyDescent="0.25">
      <c r="E41" s="202" t="s">
        <v>576</v>
      </c>
      <c r="G41" s="254" t="s">
        <v>545</v>
      </c>
      <c r="H41" s="254" t="s">
        <v>547</v>
      </c>
      <c r="I41" s="254" t="s">
        <v>546</v>
      </c>
    </row>
    <row r="43" spans="2:9" x14ac:dyDescent="0.25">
      <c r="B43" s="860" t="s">
        <v>520</v>
      </c>
      <c r="C43" s="861"/>
      <c r="D43" s="862"/>
      <c r="E43" s="251">
        <v>1</v>
      </c>
      <c r="G43" s="254">
        <v>1</v>
      </c>
      <c r="H43" s="254" t="s">
        <v>539</v>
      </c>
    </row>
    <row r="44" spans="2:9" x14ac:dyDescent="0.25">
      <c r="G44" s="254">
        <v>0</v>
      </c>
      <c r="H44" s="254" t="s">
        <v>540</v>
      </c>
    </row>
  </sheetData>
  <mergeCells count="45">
    <mergeCell ref="G6:I6"/>
    <mergeCell ref="B16:E16"/>
    <mergeCell ref="A2:E2"/>
    <mergeCell ref="C5:D5"/>
    <mergeCell ref="B7:E7"/>
    <mergeCell ref="B8:E8"/>
    <mergeCell ref="B9:E9"/>
    <mergeCell ref="B10:E10"/>
    <mergeCell ref="B11:E11"/>
    <mergeCell ref="B12:E12"/>
    <mergeCell ref="B13:E13"/>
    <mergeCell ref="B14:E14"/>
    <mergeCell ref="B15:E15"/>
    <mergeCell ref="C4:D4"/>
    <mergeCell ref="G31:I31"/>
    <mergeCell ref="B32:D32"/>
    <mergeCell ref="H32:I32"/>
    <mergeCell ref="B28:E28"/>
    <mergeCell ref="B17:E17"/>
    <mergeCell ref="B18:E18"/>
    <mergeCell ref="B19:E19"/>
    <mergeCell ref="B20:E20"/>
    <mergeCell ref="B21:E21"/>
    <mergeCell ref="B22:E22"/>
    <mergeCell ref="B23:E23"/>
    <mergeCell ref="B24:E24"/>
    <mergeCell ref="B25:E25"/>
    <mergeCell ref="B26:E26"/>
    <mergeCell ref="B27:E27"/>
    <mergeCell ref="B43:D43"/>
    <mergeCell ref="G4:I4"/>
    <mergeCell ref="G5:I5"/>
    <mergeCell ref="G39:I39"/>
    <mergeCell ref="B36:D36"/>
    <mergeCell ref="B37:D37"/>
    <mergeCell ref="B38:D38"/>
    <mergeCell ref="B39:D39"/>
    <mergeCell ref="B40:D40"/>
    <mergeCell ref="B33:D33"/>
    <mergeCell ref="H33:I33"/>
    <mergeCell ref="B34:D34"/>
    <mergeCell ref="H34:I34"/>
    <mergeCell ref="B35:D35"/>
    <mergeCell ref="B30:D30"/>
    <mergeCell ref="B31:D31"/>
  </mergeCells>
  <conditionalFormatting sqref="E5">
    <cfRule type="containsText" dxfId="203" priority="1" operator="containsText" text="Terminé">
      <formula>NOT(ISERROR(SEARCH("Terminé",E5)))</formula>
    </cfRule>
    <cfRule type="containsText" dxfId="202" priority="2" operator="containsText" text="En cours">
      <formula>NOT(ISERROR(SEARCH("En cours",E5)))</formula>
    </cfRule>
    <cfRule type="containsText" dxfId="201"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pageSetup paperSize="9" scale="90" orientation="portrait" r:id="rId1"/>
  <colBreaks count="1" manualBreakCount="1">
    <brk id="5" max="1048575" man="1"/>
  </col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M44"/>
  <sheetViews>
    <sheetView zoomScaleNormal="100" zoomScaleSheetLayoutView="220"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3" ht="21" x14ac:dyDescent="0.35">
      <c r="A1" s="11" t="s">
        <v>87</v>
      </c>
      <c r="B1" s="11"/>
      <c r="C1" s="11"/>
      <c r="D1" s="11"/>
      <c r="E1" s="11"/>
    </row>
    <row r="2" spans="1:13" ht="26.25" x14ac:dyDescent="0.4">
      <c r="A2" s="856" t="s">
        <v>913</v>
      </c>
      <c r="B2" s="856"/>
      <c r="C2" s="856"/>
      <c r="D2" s="856"/>
      <c r="E2" s="856"/>
    </row>
    <row r="3" spans="1:13" ht="27" thickBot="1" x14ac:dyDescent="0.45">
      <c r="A3" s="315"/>
      <c r="B3" s="315"/>
      <c r="C3" s="315"/>
      <c r="D3" s="315"/>
      <c r="E3" s="315"/>
    </row>
    <row r="4" spans="1:13" ht="24" customHeight="1" thickBot="1" x14ac:dyDescent="0.3">
      <c r="A4" s="12"/>
      <c r="B4" s="233" t="s">
        <v>469</v>
      </c>
      <c r="C4" s="851" t="s">
        <v>41</v>
      </c>
      <c r="D4" s="852"/>
      <c r="E4" s="175" t="s">
        <v>692</v>
      </c>
      <c r="G4" s="848" t="s">
        <v>914</v>
      </c>
      <c r="H4" s="848"/>
      <c r="I4" s="848"/>
    </row>
    <row r="5" spans="1:13" ht="24" customHeight="1" x14ac:dyDescent="0.25">
      <c r="A5" s="381" t="s">
        <v>651</v>
      </c>
      <c r="B5" s="382" t="s">
        <v>50</v>
      </c>
      <c r="C5" s="820" t="s">
        <v>18</v>
      </c>
      <c r="D5" s="820"/>
      <c r="E5" s="232" t="s">
        <v>21</v>
      </c>
      <c r="G5" s="848" t="s">
        <v>915</v>
      </c>
      <c r="H5" s="848"/>
      <c r="I5" s="848"/>
    </row>
    <row r="6" spans="1:13" ht="16.5" thickBot="1" x14ac:dyDescent="0.3">
      <c r="A6" s="379" t="s">
        <v>660</v>
      </c>
      <c r="B6" s="380" t="s">
        <v>28</v>
      </c>
      <c r="G6" s="850" t="s">
        <v>916</v>
      </c>
      <c r="H6" s="850"/>
      <c r="I6" s="850"/>
    </row>
    <row r="7" spans="1:13" ht="24" customHeight="1" thickBot="1" x14ac:dyDescent="0.3">
      <c r="A7" s="207" t="s">
        <v>1</v>
      </c>
      <c r="B7" s="820" t="s">
        <v>600</v>
      </c>
      <c r="C7" s="820"/>
      <c r="D7" s="820"/>
      <c r="E7" s="820"/>
    </row>
    <row r="8" spans="1:13" ht="24" customHeight="1" thickBot="1" x14ac:dyDescent="0.3">
      <c r="A8" s="207" t="s">
        <v>0</v>
      </c>
      <c r="B8" s="820" t="s">
        <v>599</v>
      </c>
      <c r="C8" s="820"/>
      <c r="D8" s="820"/>
      <c r="E8" s="820"/>
    </row>
    <row r="9" spans="1:13" ht="30" x14ac:dyDescent="0.25">
      <c r="A9" s="208" t="s">
        <v>2</v>
      </c>
      <c r="B9" s="890"/>
      <c r="C9" s="889"/>
      <c r="D9" s="889"/>
      <c r="E9" s="889"/>
      <c r="G9" s="116" t="s">
        <v>325</v>
      </c>
      <c r="H9" s="116" t="s">
        <v>326</v>
      </c>
      <c r="I9" s="116" t="s">
        <v>327</v>
      </c>
      <c r="J9" s="117" t="s">
        <v>328</v>
      </c>
      <c r="K9" s="117" t="s">
        <v>235</v>
      </c>
      <c r="L9" s="117" t="s">
        <v>272</v>
      </c>
      <c r="M9" s="117" t="s">
        <v>331</v>
      </c>
    </row>
    <row r="10" spans="1:13" ht="15.75" x14ac:dyDescent="0.25">
      <c r="A10" s="208" t="s">
        <v>31</v>
      </c>
      <c r="B10" s="889"/>
      <c r="C10" s="889"/>
      <c r="D10" s="889"/>
      <c r="E10" s="889"/>
      <c r="G10" s="116">
        <v>46</v>
      </c>
      <c r="H10" s="116">
        <f>G10*M10</f>
        <v>39100</v>
      </c>
      <c r="I10" s="116">
        <v>2.2000000000000002</v>
      </c>
      <c r="J10" s="117">
        <v>0.24</v>
      </c>
      <c r="K10" s="117">
        <v>65</v>
      </c>
      <c r="L10" s="117">
        <v>0.36499999999999999</v>
      </c>
      <c r="M10" s="146">
        <v>850</v>
      </c>
    </row>
    <row r="11" spans="1:13" ht="30" customHeight="1" x14ac:dyDescent="0.25">
      <c r="A11" s="209" t="s">
        <v>16</v>
      </c>
      <c r="B11" s="874" t="s">
        <v>41</v>
      </c>
      <c r="C11" s="874"/>
      <c r="D11" s="874"/>
      <c r="E11" s="874"/>
    </row>
    <row r="12" spans="1:13" ht="30" customHeight="1" x14ac:dyDescent="0.25">
      <c r="A12" s="209" t="s">
        <v>3</v>
      </c>
      <c r="B12" s="874" t="s">
        <v>765</v>
      </c>
      <c r="C12" s="874"/>
      <c r="D12" s="874"/>
      <c r="E12" s="874"/>
    </row>
    <row r="13" spans="1:13" ht="30" customHeight="1" x14ac:dyDescent="0.25">
      <c r="A13" s="209" t="s">
        <v>17</v>
      </c>
      <c r="B13" s="874"/>
      <c r="C13" s="874"/>
      <c r="D13" s="874"/>
      <c r="E13" s="874"/>
    </row>
    <row r="14" spans="1:13" ht="30" customHeight="1" x14ac:dyDescent="0.25">
      <c r="A14" s="209" t="s">
        <v>4</v>
      </c>
      <c r="B14" s="874">
        <v>2014</v>
      </c>
      <c r="C14" s="874"/>
      <c r="D14" s="874"/>
      <c r="E14" s="874"/>
    </row>
    <row r="15" spans="1:13" ht="30" customHeight="1" x14ac:dyDescent="0.25">
      <c r="A15" s="209" t="s">
        <v>5</v>
      </c>
      <c r="B15" s="874">
        <v>2014</v>
      </c>
      <c r="C15" s="874"/>
      <c r="D15" s="874"/>
      <c r="E15" s="874"/>
    </row>
    <row r="16" spans="1:13" ht="30" customHeight="1" x14ac:dyDescent="0.25">
      <c r="A16" s="209" t="s">
        <v>6</v>
      </c>
      <c r="B16" s="845">
        <f>G10*1000*I10</f>
        <v>101200.00000000001</v>
      </c>
      <c r="C16" s="845"/>
      <c r="D16" s="845"/>
      <c r="E16" s="845"/>
    </row>
    <row r="17" spans="1:9" x14ac:dyDescent="0.25">
      <c r="A17" s="209" t="s">
        <v>7</v>
      </c>
      <c r="B17" s="845"/>
      <c r="C17" s="845"/>
      <c r="D17" s="845"/>
      <c r="E17" s="845"/>
    </row>
    <row r="18" spans="1:9" ht="23.25" x14ac:dyDescent="0.25">
      <c r="A18" s="210" t="s">
        <v>468</v>
      </c>
      <c r="B18" s="868"/>
      <c r="C18" s="869"/>
      <c r="D18" s="869"/>
      <c r="E18" s="869"/>
      <c r="G18" s="2"/>
      <c r="H18" s="2"/>
    </row>
    <row r="19" spans="1:9" ht="23.25" x14ac:dyDescent="0.25">
      <c r="A19" s="238" t="s">
        <v>467</v>
      </c>
      <c r="B19" s="870">
        <f>H10</f>
        <v>39100</v>
      </c>
      <c r="C19" s="871"/>
      <c r="D19" s="871"/>
      <c r="E19" s="871"/>
      <c r="G19" s="2"/>
      <c r="H19" s="2"/>
    </row>
    <row r="20" spans="1:9" x14ac:dyDescent="0.25">
      <c r="A20" s="209" t="s">
        <v>8</v>
      </c>
      <c r="B20" s="845">
        <f>B19*J10</f>
        <v>9384</v>
      </c>
      <c r="C20" s="845"/>
      <c r="D20" s="845"/>
      <c r="E20" s="845"/>
    </row>
    <row r="21" spans="1:9" x14ac:dyDescent="0.25">
      <c r="A21" s="209" t="s">
        <v>9</v>
      </c>
      <c r="B21" s="845">
        <f>B19/1000*K10</f>
        <v>2541.5</v>
      </c>
      <c r="C21" s="845"/>
      <c r="D21" s="845"/>
      <c r="E21" s="845"/>
    </row>
    <row r="22" spans="1:9" x14ac:dyDescent="0.25">
      <c r="A22" s="209" t="s">
        <v>465</v>
      </c>
      <c r="B22" s="846">
        <f>B16/(B20+B21)</f>
        <v>8.486017357762778</v>
      </c>
      <c r="C22" s="846"/>
      <c r="D22" s="846"/>
      <c r="E22" s="846"/>
    </row>
    <row r="23" spans="1:9" x14ac:dyDescent="0.25">
      <c r="A23" s="209" t="s">
        <v>466</v>
      </c>
      <c r="B23" s="847">
        <f>(B16-B17)/(B20+B21)</f>
        <v>8.486017357762778</v>
      </c>
      <c r="C23" s="847"/>
      <c r="D23" s="847"/>
      <c r="E23" s="847"/>
    </row>
    <row r="24" spans="1:9" ht="23.25" x14ac:dyDescent="0.25">
      <c r="A24" s="211" t="s">
        <v>476</v>
      </c>
      <c r="B24" s="901">
        <f>B19/1000*L10</f>
        <v>14.2715</v>
      </c>
      <c r="C24" s="901"/>
      <c r="D24" s="901"/>
      <c r="E24" s="901"/>
    </row>
    <row r="25" spans="1:9" x14ac:dyDescent="0.25">
      <c r="A25" s="212" t="s">
        <v>463</v>
      </c>
      <c r="B25" s="881">
        <f>B24/'Objectifs CO2'!C11</f>
        <v>2.0680412704592432E-2</v>
      </c>
      <c r="C25" s="881"/>
      <c r="D25" s="881"/>
      <c r="E25" s="881"/>
    </row>
    <row r="26" spans="1:9" x14ac:dyDescent="0.25">
      <c r="A26" s="213" t="s">
        <v>464</v>
      </c>
      <c r="B26" s="881">
        <f>B24/'Objectifs CO2'!C8</f>
        <v>2.0680412704592432E-3</v>
      </c>
      <c r="C26" s="881"/>
      <c r="D26" s="881"/>
      <c r="E26" s="881"/>
    </row>
    <row r="27" spans="1:9" x14ac:dyDescent="0.25">
      <c r="A27" s="213" t="s">
        <v>24</v>
      </c>
      <c r="B27" s="902" t="s">
        <v>844</v>
      </c>
      <c r="C27" s="903"/>
      <c r="D27" s="903"/>
      <c r="E27" s="904"/>
    </row>
    <row r="28" spans="1:9" x14ac:dyDescent="0.25">
      <c r="A28" s="213" t="s">
        <v>418</v>
      </c>
      <c r="B28" s="853"/>
      <c r="C28" s="853"/>
      <c r="D28" s="853"/>
      <c r="E28" s="853"/>
    </row>
    <row r="30" spans="1:9" x14ac:dyDescent="0.25">
      <c r="B30" s="867" t="s">
        <v>530</v>
      </c>
      <c r="C30" s="867"/>
      <c r="D30" s="867"/>
      <c r="E30" s="143" t="s">
        <v>538</v>
      </c>
    </row>
    <row r="31" spans="1:9" x14ac:dyDescent="0.25">
      <c r="B31" s="864" t="s">
        <v>521</v>
      </c>
      <c r="C31" s="864"/>
      <c r="D31" s="864"/>
      <c r="E31" s="114"/>
      <c r="G31" s="866" t="s">
        <v>538</v>
      </c>
      <c r="H31" s="866"/>
      <c r="I31" s="866"/>
    </row>
    <row r="32" spans="1:9" x14ac:dyDescent="0.25">
      <c r="B32" s="864" t="s">
        <v>522</v>
      </c>
      <c r="C32" s="864"/>
      <c r="D32" s="864"/>
      <c r="E32" s="114"/>
      <c r="G32" s="252">
        <v>3</v>
      </c>
      <c r="H32" s="866" t="s">
        <v>535</v>
      </c>
      <c r="I32" s="866"/>
    </row>
    <row r="33" spans="2:9" x14ac:dyDescent="0.25">
      <c r="B33" s="864" t="s">
        <v>524</v>
      </c>
      <c r="C33" s="864"/>
      <c r="D33" s="864"/>
      <c r="E33" s="114"/>
      <c r="G33" s="252">
        <v>2</v>
      </c>
      <c r="H33" s="866" t="s">
        <v>536</v>
      </c>
      <c r="I33" s="866"/>
    </row>
    <row r="34" spans="2:9" x14ac:dyDescent="0.25">
      <c r="B34" s="864" t="s">
        <v>523</v>
      </c>
      <c r="C34" s="864"/>
      <c r="D34" s="864"/>
      <c r="E34" s="114"/>
      <c r="G34" s="252">
        <v>1</v>
      </c>
      <c r="H34" s="866" t="s">
        <v>537</v>
      </c>
      <c r="I34" s="866"/>
    </row>
    <row r="35" spans="2:9" x14ac:dyDescent="0.25">
      <c r="B35" s="864" t="s">
        <v>525</v>
      </c>
      <c r="C35" s="864"/>
      <c r="D35" s="864"/>
      <c r="E35" s="114"/>
    </row>
    <row r="36" spans="2:9" x14ac:dyDescent="0.25">
      <c r="B36" s="864" t="s">
        <v>526</v>
      </c>
      <c r="C36" s="864"/>
      <c r="D36" s="864"/>
      <c r="E36" s="114"/>
    </row>
    <row r="37" spans="2:9" x14ac:dyDescent="0.25">
      <c r="B37" s="864" t="s">
        <v>527</v>
      </c>
      <c r="C37" s="864"/>
      <c r="D37" s="864"/>
      <c r="E37" s="114"/>
    </row>
    <row r="38" spans="2:9" x14ac:dyDescent="0.25">
      <c r="B38" s="864" t="s">
        <v>528</v>
      </c>
      <c r="C38" s="864"/>
      <c r="D38" s="864"/>
      <c r="E38" s="114"/>
    </row>
    <row r="39" spans="2:9" x14ac:dyDescent="0.25">
      <c r="B39" s="864" t="s">
        <v>529</v>
      </c>
      <c r="C39" s="864"/>
      <c r="D39" s="864"/>
      <c r="E39" s="114"/>
      <c r="G39" s="863" t="s">
        <v>541</v>
      </c>
      <c r="H39" s="863"/>
      <c r="I39" s="863"/>
    </row>
    <row r="40" spans="2:9" x14ac:dyDescent="0.25">
      <c r="B40" s="865" t="s">
        <v>395</v>
      </c>
      <c r="C40" s="865"/>
      <c r="D40" s="865"/>
      <c r="E40" s="258">
        <f>SUM(E31:E39)</f>
        <v>0</v>
      </c>
      <c r="G40" s="254" t="s">
        <v>542</v>
      </c>
      <c r="H40" s="257" t="s">
        <v>543</v>
      </c>
      <c r="I40" s="254" t="s">
        <v>544</v>
      </c>
    </row>
    <row r="41" spans="2:9" x14ac:dyDescent="0.25">
      <c r="E41" s="202" t="s">
        <v>576</v>
      </c>
      <c r="G41" s="254" t="s">
        <v>545</v>
      </c>
      <c r="H41" s="254" t="s">
        <v>547</v>
      </c>
      <c r="I41" s="254" t="s">
        <v>546</v>
      </c>
    </row>
    <row r="43" spans="2:9" x14ac:dyDescent="0.25">
      <c r="B43" s="860" t="s">
        <v>520</v>
      </c>
      <c r="C43" s="861"/>
      <c r="D43" s="862"/>
      <c r="E43" s="251">
        <v>1</v>
      </c>
      <c r="G43" s="254">
        <v>1</v>
      </c>
      <c r="H43" s="254" t="s">
        <v>539</v>
      </c>
    </row>
    <row r="44" spans="2:9" x14ac:dyDescent="0.25">
      <c r="G44" s="254">
        <v>0</v>
      </c>
      <c r="H44" s="254" t="s">
        <v>540</v>
      </c>
    </row>
  </sheetData>
  <mergeCells count="45">
    <mergeCell ref="B40:D40"/>
    <mergeCell ref="B43:D43"/>
    <mergeCell ref="B35:D35"/>
    <mergeCell ref="B36:D36"/>
    <mergeCell ref="B37:D37"/>
    <mergeCell ref="B38:D38"/>
    <mergeCell ref="B39:D39"/>
    <mergeCell ref="G39:I39"/>
    <mergeCell ref="B32:D32"/>
    <mergeCell ref="H32:I32"/>
    <mergeCell ref="B33:D33"/>
    <mergeCell ref="H33:I33"/>
    <mergeCell ref="B34:D34"/>
    <mergeCell ref="H34:I34"/>
    <mergeCell ref="G31:I31"/>
    <mergeCell ref="B20:E20"/>
    <mergeCell ref="B21:E21"/>
    <mergeCell ref="B22:E22"/>
    <mergeCell ref="B23:E23"/>
    <mergeCell ref="B24:E24"/>
    <mergeCell ref="B25:E25"/>
    <mergeCell ref="B26:E26"/>
    <mergeCell ref="B27:E27"/>
    <mergeCell ref="B28:E28"/>
    <mergeCell ref="B30:D30"/>
    <mergeCell ref="B31:D31"/>
    <mergeCell ref="B19:E19"/>
    <mergeCell ref="B8:E8"/>
    <mergeCell ref="B9:E9"/>
    <mergeCell ref="B10:E10"/>
    <mergeCell ref="B11:E11"/>
    <mergeCell ref="B12:E12"/>
    <mergeCell ref="B13:E13"/>
    <mergeCell ref="B14:E14"/>
    <mergeCell ref="B15:E15"/>
    <mergeCell ref="B16:E16"/>
    <mergeCell ref="B17:E17"/>
    <mergeCell ref="B18:E18"/>
    <mergeCell ref="B7:E7"/>
    <mergeCell ref="A2:E2"/>
    <mergeCell ref="G4:I4"/>
    <mergeCell ref="C5:D5"/>
    <mergeCell ref="G5:I5"/>
    <mergeCell ref="G6:I6"/>
    <mergeCell ref="C4:D4"/>
  </mergeCells>
  <conditionalFormatting sqref="E5">
    <cfRule type="containsText" dxfId="200" priority="1" operator="containsText" text="Terminé">
      <formula>NOT(ISERROR(SEARCH("Terminé",E5)))</formula>
    </cfRule>
    <cfRule type="containsText" dxfId="199" priority="2" operator="containsText" text="En cours">
      <formula>NOT(ISERROR(SEARCH("En cours",E5)))</formula>
    </cfRule>
    <cfRule type="containsText" dxfId="198"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pageSetup paperSize="9" scale="90"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M44"/>
  <sheetViews>
    <sheetView topLeftCell="A4" zoomScaleNormal="100" zoomScaleSheetLayoutView="136"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3" ht="21" x14ac:dyDescent="0.35">
      <c r="A1" s="11" t="s">
        <v>87</v>
      </c>
      <c r="B1" s="11"/>
      <c r="C1" s="11"/>
      <c r="D1" s="11"/>
      <c r="E1" s="11"/>
    </row>
    <row r="2" spans="1:13" ht="26.25" x14ac:dyDescent="0.4">
      <c r="A2" s="856" t="s">
        <v>913</v>
      </c>
      <c r="B2" s="856"/>
      <c r="C2" s="856"/>
      <c r="D2" s="856"/>
      <c r="E2" s="856"/>
    </row>
    <row r="3" spans="1:13" ht="27" thickBot="1" x14ac:dyDescent="0.45">
      <c r="A3" s="374"/>
      <c r="B3" s="374"/>
      <c r="C3" s="374"/>
      <c r="D3" s="374"/>
      <c r="E3" s="374"/>
    </row>
    <row r="4" spans="1:13" ht="24" customHeight="1" thickBot="1" x14ac:dyDescent="0.3">
      <c r="A4" s="12"/>
      <c r="B4" s="233" t="s">
        <v>469</v>
      </c>
      <c r="C4" s="851" t="s">
        <v>41</v>
      </c>
      <c r="D4" s="852"/>
      <c r="E4" s="175" t="s">
        <v>753</v>
      </c>
      <c r="G4" s="848" t="s">
        <v>914</v>
      </c>
      <c r="H4" s="848"/>
      <c r="I4" s="848"/>
    </row>
    <row r="5" spans="1:13" ht="24" customHeight="1" x14ac:dyDescent="0.25">
      <c r="A5" s="381" t="s">
        <v>651</v>
      </c>
      <c r="B5" s="382" t="s">
        <v>50</v>
      </c>
      <c r="C5" s="820" t="s">
        <v>18</v>
      </c>
      <c r="D5" s="820"/>
      <c r="E5" s="232" t="s">
        <v>21</v>
      </c>
      <c r="G5" s="848" t="s">
        <v>915</v>
      </c>
      <c r="H5" s="848"/>
      <c r="I5" s="848"/>
    </row>
    <row r="6" spans="1:13" ht="16.5" thickBot="1" x14ac:dyDescent="0.3">
      <c r="A6" s="379" t="s">
        <v>660</v>
      </c>
      <c r="B6" s="380" t="s">
        <v>28</v>
      </c>
      <c r="G6" s="850" t="s">
        <v>916</v>
      </c>
      <c r="H6" s="850"/>
      <c r="I6" s="850"/>
    </row>
    <row r="7" spans="1:13" ht="24" customHeight="1" thickBot="1" x14ac:dyDescent="0.3">
      <c r="A7" s="207" t="s">
        <v>1</v>
      </c>
      <c r="B7" s="820" t="s">
        <v>600</v>
      </c>
      <c r="C7" s="820"/>
      <c r="D7" s="820"/>
      <c r="E7" s="820"/>
    </row>
    <row r="8" spans="1:13" ht="24" customHeight="1" thickBot="1" x14ac:dyDescent="0.3">
      <c r="A8" s="207" t="s">
        <v>0</v>
      </c>
      <c r="B8" s="820" t="s">
        <v>752</v>
      </c>
      <c r="C8" s="820"/>
      <c r="D8" s="820"/>
      <c r="E8" s="820"/>
    </row>
    <row r="9" spans="1:13" ht="30" x14ac:dyDescent="0.25">
      <c r="A9" s="208" t="s">
        <v>2</v>
      </c>
      <c r="B9" s="890"/>
      <c r="C9" s="889"/>
      <c r="D9" s="889"/>
      <c r="E9" s="889"/>
      <c r="G9" s="116" t="s">
        <v>325</v>
      </c>
      <c r="H9" s="116" t="s">
        <v>326</v>
      </c>
      <c r="I9" s="116" t="s">
        <v>327</v>
      </c>
      <c r="J9" s="117" t="s">
        <v>328</v>
      </c>
      <c r="K9" s="117" t="s">
        <v>235</v>
      </c>
      <c r="L9" s="117" t="s">
        <v>272</v>
      </c>
      <c r="M9" s="117" t="s">
        <v>331</v>
      </c>
    </row>
    <row r="10" spans="1:13" ht="15.75" x14ac:dyDescent="0.25">
      <c r="A10" s="208" t="s">
        <v>31</v>
      </c>
      <c r="B10" s="889"/>
      <c r="C10" s="889"/>
      <c r="D10" s="889"/>
      <c r="E10" s="889"/>
      <c r="G10" s="116">
        <v>150</v>
      </c>
      <c r="H10" s="116">
        <f>G10*M10</f>
        <v>127500</v>
      </c>
      <c r="I10" s="116">
        <v>2.2000000000000002</v>
      </c>
      <c r="J10" s="117">
        <v>0.24</v>
      </c>
      <c r="K10" s="117">
        <v>65</v>
      </c>
      <c r="L10" s="117">
        <v>0.36499999999999999</v>
      </c>
      <c r="M10" s="146">
        <v>850</v>
      </c>
    </row>
    <row r="11" spans="1:13" ht="30" customHeight="1" x14ac:dyDescent="0.25">
      <c r="A11" s="209" t="s">
        <v>16</v>
      </c>
      <c r="B11" s="874" t="s">
        <v>41</v>
      </c>
      <c r="C11" s="874"/>
      <c r="D11" s="874"/>
      <c r="E11" s="874"/>
    </row>
    <row r="12" spans="1:13" ht="30" customHeight="1" x14ac:dyDescent="0.25">
      <c r="A12" s="209" t="s">
        <v>3</v>
      </c>
      <c r="B12" s="874" t="s">
        <v>851</v>
      </c>
      <c r="C12" s="874"/>
      <c r="D12" s="874"/>
      <c r="E12" s="874"/>
    </row>
    <row r="13" spans="1:13" ht="30" customHeight="1" x14ac:dyDescent="0.25">
      <c r="A13" s="209" t="s">
        <v>17</v>
      </c>
      <c r="B13" s="874"/>
      <c r="C13" s="874"/>
      <c r="D13" s="874"/>
      <c r="E13" s="874"/>
    </row>
    <row r="14" spans="1:13" ht="30" customHeight="1" x14ac:dyDescent="0.25">
      <c r="A14" s="209" t="s">
        <v>4</v>
      </c>
      <c r="B14" s="874">
        <v>2015</v>
      </c>
      <c r="C14" s="874"/>
      <c r="D14" s="874"/>
      <c r="E14" s="874"/>
    </row>
    <row r="15" spans="1:13" ht="30" customHeight="1" x14ac:dyDescent="0.25">
      <c r="A15" s="209" t="s">
        <v>5</v>
      </c>
      <c r="B15" s="874">
        <v>2015</v>
      </c>
      <c r="C15" s="874"/>
      <c r="D15" s="874"/>
      <c r="E15" s="874"/>
    </row>
    <row r="16" spans="1:13" ht="30" customHeight="1" x14ac:dyDescent="0.25">
      <c r="A16" s="209" t="s">
        <v>6</v>
      </c>
      <c r="B16" s="845">
        <f>G10*1000*I10</f>
        <v>330000</v>
      </c>
      <c r="C16" s="845"/>
      <c r="D16" s="845"/>
      <c r="E16" s="845"/>
    </row>
    <row r="17" spans="1:9" ht="30" customHeight="1" x14ac:dyDescent="0.25">
      <c r="A17" s="209" t="s">
        <v>7</v>
      </c>
      <c r="B17" s="845"/>
      <c r="C17" s="845"/>
      <c r="D17" s="845"/>
      <c r="E17" s="845"/>
    </row>
    <row r="18" spans="1:9" ht="30" customHeight="1" x14ac:dyDescent="0.25">
      <c r="A18" s="210" t="s">
        <v>468</v>
      </c>
      <c r="B18" s="868"/>
      <c r="C18" s="869"/>
      <c r="D18" s="869"/>
      <c r="E18" s="869"/>
      <c r="G18" s="2"/>
      <c r="H18" s="2"/>
    </row>
    <row r="19" spans="1:9" ht="30" customHeight="1" x14ac:dyDescent="0.25">
      <c r="A19" s="238" t="s">
        <v>467</v>
      </c>
      <c r="B19" s="870">
        <f>H10</f>
        <v>127500</v>
      </c>
      <c r="C19" s="871"/>
      <c r="D19" s="871"/>
      <c r="E19" s="871"/>
      <c r="G19" s="2"/>
      <c r="H19" s="2"/>
    </row>
    <row r="20" spans="1:9" ht="30" customHeight="1" x14ac:dyDescent="0.25">
      <c r="A20" s="209" t="s">
        <v>8</v>
      </c>
      <c r="B20" s="845">
        <f>B19*J10</f>
        <v>30600</v>
      </c>
      <c r="C20" s="845"/>
      <c r="D20" s="845"/>
      <c r="E20" s="845"/>
    </row>
    <row r="21" spans="1:9" ht="30" customHeight="1" x14ac:dyDescent="0.25">
      <c r="A21" s="209" t="s">
        <v>9</v>
      </c>
      <c r="B21" s="845">
        <f>B19/1000*K10</f>
        <v>8287.5</v>
      </c>
      <c r="C21" s="845"/>
      <c r="D21" s="845"/>
      <c r="E21" s="845"/>
    </row>
    <row r="22" spans="1:9" ht="30" customHeight="1" x14ac:dyDescent="0.25">
      <c r="A22" s="209" t="s">
        <v>465</v>
      </c>
      <c r="B22" s="846">
        <f>B16/(B20+B21)</f>
        <v>8.486017357762778</v>
      </c>
      <c r="C22" s="846"/>
      <c r="D22" s="846"/>
      <c r="E22" s="846"/>
    </row>
    <row r="23" spans="1:9" ht="30" customHeight="1" x14ac:dyDescent="0.25">
      <c r="A23" s="209" t="s">
        <v>466</v>
      </c>
      <c r="B23" s="847">
        <f>(B16-B17)/(B20+B21)</f>
        <v>8.486017357762778</v>
      </c>
      <c r="C23" s="847"/>
      <c r="D23" s="847"/>
      <c r="E23" s="847"/>
    </row>
    <row r="24" spans="1:9" ht="30" customHeight="1" x14ac:dyDescent="0.25">
      <c r="A24" s="211" t="s">
        <v>476</v>
      </c>
      <c r="B24" s="901">
        <f>B19/1000*L10</f>
        <v>46.537500000000001</v>
      </c>
      <c r="C24" s="901"/>
      <c r="D24" s="901"/>
      <c r="E24" s="901"/>
    </row>
    <row r="25" spans="1:9" ht="30" customHeight="1" x14ac:dyDescent="0.25">
      <c r="A25" s="212" t="s">
        <v>463</v>
      </c>
      <c r="B25" s="881">
        <f>B24/'Objectifs CO2'!C13</f>
        <v>0.33718064192270275</v>
      </c>
      <c r="C25" s="881"/>
      <c r="D25" s="881"/>
      <c r="E25" s="881"/>
    </row>
    <row r="26" spans="1:9" ht="30" customHeight="1" x14ac:dyDescent="0.25">
      <c r="A26" s="213" t="s">
        <v>464</v>
      </c>
      <c r="B26" s="881">
        <f>B24/'Objectifs CO2'!C8</f>
        <v>6.7436128384540548E-3</v>
      </c>
      <c r="C26" s="881"/>
      <c r="D26" s="881"/>
      <c r="E26" s="881"/>
    </row>
    <row r="27" spans="1:9" ht="30" customHeight="1" x14ac:dyDescent="0.25">
      <c r="A27" s="213" t="s">
        <v>24</v>
      </c>
      <c r="B27" s="902" t="s">
        <v>844</v>
      </c>
      <c r="C27" s="903"/>
      <c r="D27" s="903"/>
      <c r="E27" s="904"/>
    </row>
    <row r="28" spans="1:9" ht="30" customHeight="1" x14ac:dyDescent="0.25">
      <c r="A28" s="213" t="s">
        <v>418</v>
      </c>
      <c r="B28" s="853"/>
      <c r="C28" s="853"/>
      <c r="D28" s="853"/>
      <c r="E28" s="853"/>
    </row>
    <row r="30" spans="1:9" x14ac:dyDescent="0.25">
      <c r="B30" s="867" t="s">
        <v>530</v>
      </c>
      <c r="C30" s="867"/>
      <c r="D30" s="867"/>
      <c r="E30" s="143" t="s">
        <v>538</v>
      </c>
    </row>
    <row r="31" spans="1:9" x14ac:dyDescent="0.25">
      <c r="B31" s="864" t="s">
        <v>521</v>
      </c>
      <c r="C31" s="864"/>
      <c r="D31" s="864"/>
      <c r="E31" s="114"/>
      <c r="G31" s="866" t="s">
        <v>538</v>
      </c>
      <c r="H31" s="866"/>
      <c r="I31" s="866"/>
    </row>
    <row r="32" spans="1:9" x14ac:dyDescent="0.25">
      <c r="B32" s="864" t="s">
        <v>522</v>
      </c>
      <c r="C32" s="864"/>
      <c r="D32" s="864"/>
      <c r="E32" s="114"/>
      <c r="G32" s="252">
        <v>3</v>
      </c>
      <c r="H32" s="866" t="s">
        <v>535</v>
      </c>
      <c r="I32" s="866"/>
    </row>
    <row r="33" spans="2:9" x14ac:dyDescent="0.25">
      <c r="B33" s="864" t="s">
        <v>524</v>
      </c>
      <c r="C33" s="864"/>
      <c r="D33" s="864"/>
      <c r="E33" s="114"/>
      <c r="G33" s="252">
        <v>2</v>
      </c>
      <c r="H33" s="866" t="s">
        <v>536</v>
      </c>
      <c r="I33" s="866"/>
    </row>
    <row r="34" spans="2:9" x14ac:dyDescent="0.25">
      <c r="B34" s="864" t="s">
        <v>523</v>
      </c>
      <c r="C34" s="864"/>
      <c r="D34" s="864"/>
      <c r="E34" s="114"/>
      <c r="G34" s="252">
        <v>1</v>
      </c>
      <c r="H34" s="866" t="s">
        <v>537</v>
      </c>
      <c r="I34" s="866"/>
    </row>
    <row r="35" spans="2:9" x14ac:dyDescent="0.25">
      <c r="B35" s="864" t="s">
        <v>525</v>
      </c>
      <c r="C35" s="864"/>
      <c r="D35" s="864"/>
      <c r="E35" s="114"/>
    </row>
    <row r="36" spans="2:9" x14ac:dyDescent="0.25">
      <c r="B36" s="864" t="s">
        <v>526</v>
      </c>
      <c r="C36" s="864"/>
      <c r="D36" s="864"/>
      <c r="E36" s="114"/>
    </row>
    <row r="37" spans="2:9" x14ac:dyDescent="0.25">
      <c r="B37" s="864" t="s">
        <v>527</v>
      </c>
      <c r="C37" s="864"/>
      <c r="D37" s="864"/>
      <c r="E37" s="114"/>
    </row>
    <row r="38" spans="2:9" x14ac:dyDescent="0.25">
      <c r="B38" s="864" t="s">
        <v>528</v>
      </c>
      <c r="C38" s="864"/>
      <c r="D38" s="864"/>
      <c r="E38" s="114"/>
    </row>
    <row r="39" spans="2:9" x14ac:dyDescent="0.25">
      <c r="B39" s="864" t="s">
        <v>529</v>
      </c>
      <c r="C39" s="864"/>
      <c r="D39" s="864"/>
      <c r="E39" s="114"/>
      <c r="G39" s="863" t="s">
        <v>541</v>
      </c>
      <c r="H39" s="863"/>
      <c r="I39" s="863"/>
    </row>
    <row r="40" spans="2:9" x14ac:dyDescent="0.25">
      <c r="B40" s="865" t="s">
        <v>395</v>
      </c>
      <c r="C40" s="865"/>
      <c r="D40" s="865"/>
      <c r="E40" s="258">
        <f>SUM(E31:E39)</f>
        <v>0</v>
      </c>
      <c r="G40" s="254" t="s">
        <v>542</v>
      </c>
      <c r="H40" s="257" t="s">
        <v>543</v>
      </c>
      <c r="I40" s="254" t="s">
        <v>544</v>
      </c>
    </row>
    <row r="41" spans="2:9" x14ac:dyDescent="0.25">
      <c r="E41" s="202" t="s">
        <v>576</v>
      </c>
      <c r="G41" s="254" t="s">
        <v>545</v>
      </c>
      <c r="H41" s="254" t="s">
        <v>547</v>
      </c>
      <c r="I41" s="254" t="s">
        <v>546</v>
      </c>
    </row>
    <row r="43" spans="2:9" x14ac:dyDescent="0.25">
      <c r="B43" s="860" t="s">
        <v>520</v>
      </c>
      <c r="C43" s="861"/>
      <c r="D43" s="862"/>
      <c r="E43" s="251">
        <v>1</v>
      </c>
      <c r="G43" s="254">
        <v>1</v>
      </c>
      <c r="H43" s="254" t="s">
        <v>539</v>
      </c>
    </row>
    <row r="44" spans="2:9" x14ac:dyDescent="0.25">
      <c r="G44" s="254">
        <v>0</v>
      </c>
      <c r="H44" s="254" t="s">
        <v>540</v>
      </c>
    </row>
  </sheetData>
  <mergeCells count="45">
    <mergeCell ref="B40:D40"/>
    <mergeCell ref="B43:D43"/>
    <mergeCell ref="B35:D35"/>
    <mergeCell ref="B36:D36"/>
    <mergeCell ref="B37:D37"/>
    <mergeCell ref="B38:D38"/>
    <mergeCell ref="B39:D39"/>
    <mergeCell ref="G39:I39"/>
    <mergeCell ref="B32:D32"/>
    <mergeCell ref="H32:I32"/>
    <mergeCell ref="B33:D33"/>
    <mergeCell ref="H33:I33"/>
    <mergeCell ref="B34:D34"/>
    <mergeCell ref="H34:I34"/>
    <mergeCell ref="G31:I31"/>
    <mergeCell ref="B20:E20"/>
    <mergeCell ref="B21:E21"/>
    <mergeCell ref="B22:E22"/>
    <mergeCell ref="B23:E23"/>
    <mergeCell ref="B24:E24"/>
    <mergeCell ref="B25:E25"/>
    <mergeCell ref="B26:E26"/>
    <mergeCell ref="B27:E27"/>
    <mergeCell ref="B28:E28"/>
    <mergeCell ref="B30:D30"/>
    <mergeCell ref="B31:D31"/>
    <mergeCell ref="B19:E19"/>
    <mergeCell ref="B8:E8"/>
    <mergeCell ref="B9:E9"/>
    <mergeCell ref="B10:E10"/>
    <mergeCell ref="B11:E11"/>
    <mergeCell ref="B12:E12"/>
    <mergeCell ref="B13:E13"/>
    <mergeCell ref="B14:E14"/>
    <mergeCell ref="B15:E15"/>
    <mergeCell ref="B16:E16"/>
    <mergeCell ref="B17:E17"/>
    <mergeCell ref="B18:E18"/>
    <mergeCell ref="B7:E7"/>
    <mergeCell ref="A2:E2"/>
    <mergeCell ref="G4:I4"/>
    <mergeCell ref="C5:D5"/>
    <mergeCell ref="G5:I5"/>
    <mergeCell ref="G6:I6"/>
    <mergeCell ref="C4:D4"/>
  </mergeCells>
  <conditionalFormatting sqref="E5">
    <cfRule type="containsText" dxfId="197" priority="1" operator="containsText" text="Terminé">
      <formula>NOT(ISERROR(SEARCH("Terminé",E5)))</formula>
    </cfRule>
    <cfRule type="containsText" dxfId="196" priority="2" operator="containsText" text="En cours">
      <formula>NOT(ISERROR(SEARCH("En cours",E5)))</formula>
    </cfRule>
    <cfRule type="containsText" dxfId="195"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pageSetup paperSize="9" scale="90" orientation="portrait" r:id="rId1"/>
  <colBreaks count="1" manualBreakCount="1">
    <brk id="5" max="1048575" man="1"/>
  </col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32"/>
  <sheetViews>
    <sheetView showGridLines="0" view="pageBreakPreview" zoomScale="60" zoomScaleNormal="130" workbookViewId="0">
      <selection activeCell="G25" sqref="G25"/>
    </sheetView>
  </sheetViews>
  <sheetFormatPr baseColWidth="10" defaultRowHeight="15" x14ac:dyDescent="0.25"/>
  <cols>
    <col min="1" max="1" width="26.5703125" style="37" customWidth="1"/>
    <col min="2" max="2" width="18.28515625" style="37" customWidth="1"/>
    <col min="3" max="5" width="11.42578125" style="37"/>
    <col min="6" max="6" width="14.42578125" style="37" customWidth="1"/>
    <col min="7" max="7" width="12.85546875" style="37" customWidth="1"/>
    <col min="8" max="8" width="11.42578125" style="37"/>
    <col min="9" max="9" width="0" style="37" hidden="1" customWidth="1"/>
    <col min="10" max="14" width="9.5703125" style="37" customWidth="1"/>
    <col min="15" max="16384" width="11.42578125" style="37"/>
  </cols>
  <sheetData>
    <row r="1" spans="1:20" ht="26.25" x14ac:dyDescent="0.4">
      <c r="A1" s="8" t="s">
        <v>54</v>
      </c>
      <c r="B1" s="48" t="s">
        <v>83</v>
      </c>
      <c r="D1" s="821" t="s">
        <v>848</v>
      </c>
      <c r="E1" s="821"/>
      <c r="F1" s="821"/>
      <c r="G1" s="821"/>
      <c r="H1" s="322"/>
      <c r="I1" s="322"/>
      <c r="J1" s="322"/>
    </row>
    <row r="3" spans="1:20" ht="18.75" x14ac:dyDescent="0.3">
      <c r="A3" s="66" t="s">
        <v>77</v>
      </c>
      <c r="B3" s="81">
        <f>T28*1000</f>
        <v>157505.54580251552</v>
      </c>
      <c r="C3" s="70" t="s">
        <v>76</v>
      </c>
      <c r="D3" s="70" t="s">
        <v>13</v>
      </c>
      <c r="E3" s="67" t="s">
        <v>32</v>
      </c>
      <c r="F3" s="67" t="s">
        <v>70</v>
      </c>
      <c r="G3" s="59" t="s">
        <v>71</v>
      </c>
      <c r="P3" s="37" t="s">
        <v>18</v>
      </c>
    </row>
    <row r="4" spans="1:20" ht="15.75" thickBot="1" x14ac:dyDescent="0.3">
      <c r="A4" s="75"/>
      <c r="B4" s="75" t="s">
        <v>11</v>
      </c>
      <c r="C4" s="82">
        <f>B3/5</f>
        <v>31501.109160503103</v>
      </c>
      <c r="D4" s="71">
        <v>0.20399999999999999</v>
      </c>
      <c r="E4" s="78">
        <f>SUM('Synthèse PER'!R2:R92)</f>
        <v>14351.172427631704</v>
      </c>
      <c r="F4" s="61">
        <f>E4/B$3</f>
        <v>9.1115346793093688E-2</v>
      </c>
      <c r="G4" s="73">
        <f>E4/C$4</f>
        <v>0.45557673396546844</v>
      </c>
      <c r="P4" s="37" t="s">
        <v>19</v>
      </c>
    </row>
    <row r="5" spans="1:20" x14ac:dyDescent="0.25">
      <c r="A5" s="834" t="s">
        <v>23</v>
      </c>
      <c r="B5" s="68" t="s">
        <v>39</v>
      </c>
      <c r="C5" s="63">
        <f t="shared" ref="C5:C10" si="0">C$4*D5</f>
        <v>9450.3327481509314</v>
      </c>
      <c r="D5" s="64">
        <v>0.3</v>
      </c>
      <c r="E5" s="65">
        <f>SUM('Synthèse PER'!S2:S92)</f>
        <v>0</v>
      </c>
      <c r="F5" s="61">
        <f t="shared" ref="F5:F10" si="1">E5/B$3</f>
        <v>0</v>
      </c>
      <c r="G5" s="73">
        <f t="shared" ref="G5:G10" si="2">E5/C$4</f>
        <v>0</v>
      </c>
      <c r="P5" s="37" t="s">
        <v>20</v>
      </c>
    </row>
    <row r="6" spans="1:20" x14ac:dyDescent="0.25">
      <c r="A6" s="835"/>
      <c r="B6" s="69" t="s">
        <v>61</v>
      </c>
      <c r="C6" s="63">
        <f t="shared" si="0"/>
        <v>1575.0554580251553</v>
      </c>
      <c r="D6" s="64">
        <v>0.05</v>
      </c>
      <c r="E6" s="65">
        <f>SUM('Synthèse PER'!T2:T92)</f>
        <v>20.936399999999999</v>
      </c>
      <c r="F6" s="61">
        <f t="shared" si="1"/>
        <v>1.3292484333377437E-4</v>
      </c>
      <c r="G6" s="73">
        <f t="shared" si="2"/>
        <v>6.6462421666887192E-4</v>
      </c>
      <c r="P6" s="37" t="s">
        <v>21</v>
      </c>
    </row>
    <row r="7" spans="1:20" x14ac:dyDescent="0.25">
      <c r="A7" s="835"/>
      <c r="B7" s="68" t="s">
        <v>35</v>
      </c>
      <c r="C7" s="63">
        <f t="shared" si="0"/>
        <v>9450.3327481509314</v>
      </c>
      <c r="D7" s="64">
        <v>0.3</v>
      </c>
      <c r="E7" s="65">
        <f>SUM('Synthèse PER'!U2:U92)</f>
        <v>8254.0079857308137</v>
      </c>
      <c r="F7" s="61">
        <f t="shared" si="1"/>
        <v>5.240455466933145E-2</v>
      </c>
      <c r="G7" s="73">
        <f t="shared" si="2"/>
        <v>0.26202277334665725</v>
      </c>
      <c r="P7" s="37" t="s">
        <v>45</v>
      </c>
    </row>
    <row r="8" spans="1:20" x14ac:dyDescent="0.25">
      <c r="A8" s="835"/>
      <c r="B8" s="68" t="s">
        <v>41</v>
      </c>
      <c r="C8" s="63">
        <f t="shared" si="0"/>
        <v>3150.1109160503106</v>
      </c>
      <c r="D8" s="64">
        <v>0.1</v>
      </c>
      <c r="E8" s="65">
        <f>SUM('Synthèse PER'!V2:V92)</f>
        <v>247.95</v>
      </c>
      <c r="F8" s="61">
        <f t="shared" si="1"/>
        <v>1.5742302833633935E-3</v>
      </c>
      <c r="G8" s="73">
        <f t="shared" si="2"/>
        <v>7.8711514168169679E-3</v>
      </c>
      <c r="P8" s="37" t="s">
        <v>22</v>
      </c>
    </row>
    <row r="9" spans="1:20" x14ac:dyDescent="0.25">
      <c r="A9" s="835"/>
      <c r="B9" s="68" t="s">
        <v>37</v>
      </c>
      <c r="C9" s="63">
        <f t="shared" si="0"/>
        <v>4725.1663740754657</v>
      </c>
      <c r="D9" s="64">
        <v>0.15</v>
      </c>
      <c r="E9" s="65">
        <f>SUM('Synthèse PER'!W2:W92)</f>
        <v>19.157576856440965</v>
      </c>
      <c r="F9" s="61">
        <f t="shared" si="1"/>
        <v>1.2163112580468262E-4</v>
      </c>
      <c r="G9" s="73">
        <f t="shared" si="2"/>
        <v>6.0815562902341309E-4</v>
      </c>
    </row>
    <row r="10" spans="1:20" ht="15.75" thickBot="1" x14ac:dyDescent="0.3">
      <c r="A10" s="836"/>
      <c r="B10" s="68" t="s">
        <v>40</v>
      </c>
      <c r="C10" s="63">
        <f t="shared" si="0"/>
        <v>3150.1109160503106</v>
      </c>
      <c r="D10" s="64">
        <v>0.1</v>
      </c>
      <c r="E10" s="65">
        <f>SUM('Synthèse PER'!X2:X92)</f>
        <v>4351.3181999999997</v>
      </c>
      <c r="F10" s="58">
        <f t="shared" si="1"/>
        <v>2.7626444375843079E-2</v>
      </c>
      <c r="G10" s="74">
        <f t="shared" si="2"/>
        <v>0.13813222187921542</v>
      </c>
    </row>
    <row r="11" spans="1:20" x14ac:dyDescent="0.25">
      <c r="A11" s="12"/>
      <c r="D11" s="62">
        <f>SUM(D5:D10)</f>
        <v>0.99999999999999989</v>
      </c>
      <c r="G11" s="827" t="s">
        <v>564</v>
      </c>
      <c r="H11" s="827"/>
    </row>
    <row r="12" spans="1:20" x14ac:dyDescent="0.25">
      <c r="G12" s="827" t="s">
        <v>595</v>
      </c>
      <c r="H12" s="827"/>
    </row>
    <row r="13" spans="1:20" x14ac:dyDescent="0.25">
      <c r="B13" s="256" t="s">
        <v>181</v>
      </c>
      <c r="C13" s="316" t="s">
        <v>679</v>
      </c>
      <c r="D13" s="256" t="s">
        <v>90</v>
      </c>
      <c r="E13" s="256" t="s">
        <v>156</v>
      </c>
      <c r="F13" s="256" t="s">
        <v>196</v>
      </c>
      <c r="G13" s="256" t="s">
        <v>121</v>
      </c>
      <c r="H13" s="256" t="s">
        <v>134</v>
      </c>
      <c r="I13" s="256" t="s">
        <v>704</v>
      </c>
      <c r="O13" s="99"/>
      <c r="P13" s="825" t="s">
        <v>66</v>
      </c>
      <c r="Q13" s="825"/>
      <c r="R13" s="825"/>
      <c r="S13" s="825"/>
      <c r="T13" s="825"/>
    </row>
    <row r="14" spans="1:20" x14ac:dyDescent="0.25">
      <c r="B14" s="256" t="s">
        <v>182</v>
      </c>
      <c r="C14" s="316" t="s">
        <v>682</v>
      </c>
      <c r="D14" s="256" t="s">
        <v>92</v>
      </c>
      <c r="E14" s="256" t="s">
        <v>157</v>
      </c>
      <c r="F14" s="316" t="s">
        <v>700</v>
      </c>
      <c r="G14" s="256" t="s">
        <v>122</v>
      </c>
      <c r="H14" s="256" t="s">
        <v>143</v>
      </c>
      <c r="I14" s="316" t="s">
        <v>707</v>
      </c>
      <c r="O14" s="102"/>
      <c r="P14" s="103" t="s">
        <v>57</v>
      </c>
      <c r="Q14" s="103" t="s">
        <v>58</v>
      </c>
      <c r="R14" s="103" t="s">
        <v>59</v>
      </c>
      <c r="S14" s="103" t="s">
        <v>67</v>
      </c>
      <c r="T14" s="103" t="s">
        <v>60</v>
      </c>
    </row>
    <row r="15" spans="1:20" x14ac:dyDescent="0.25">
      <c r="B15" s="256" t="s">
        <v>183</v>
      </c>
      <c r="C15" s="316" t="s">
        <v>684</v>
      </c>
      <c r="D15" s="316" t="s">
        <v>693</v>
      </c>
      <c r="E15" s="256" t="s">
        <v>405</v>
      </c>
      <c r="F15" s="256" t="s">
        <v>95</v>
      </c>
      <c r="G15" s="256" t="s">
        <v>123</v>
      </c>
      <c r="H15" s="316" t="s">
        <v>716</v>
      </c>
      <c r="I15" s="316" t="s">
        <v>708</v>
      </c>
      <c r="O15" s="49" t="s">
        <v>39</v>
      </c>
      <c r="P15" s="104">
        <v>11.135566240786474</v>
      </c>
      <c r="Q15" s="104"/>
      <c r="R15" s="104">
        <v>448.31313971217003</v>
      </c>
      <c r="S15" s="104"/>
      <c r="T15" s="105">
        <v>459.44870595295652</v>
      </c>
    </row>
    <row r="16" spans="1:20" x14ac:dyDescent="0.25">
      <c r="B16" s="256" t="s">
        <v>190</v>
      </c>
      <c r="C16" s="316" t="s">
        <v>688</v>
      </c>
      <c r="D16" s="316" t="s">
        <v>692</v>
      </c>
      <c r="E16" s="154"/>
      <c r="F16" s="256" t="s">
        <v>98</v>
      </c>
      <c r="G16" s="256" t="s">
        <v>124</v>
      </c>
      <c r="H16" s="256" t="s">
        <v>144</v>
      </c>
      <c r="I16" s="316" t="s">
        <v>710</v>
      </c>
      <c r="O16" s="49" t="s">
        <v>84</v>
      </c>
      <c r="P16" s="105">
        <v>360.77897458880801</v>
      </c>
      <c r="Q16" s="105">
        <v>4173</v>
      </c>
      <c r="R16" s="105">
        <v>967.27542551125725</v>
      </c>
      <c r="S16" s="105">
        <v>10.480466769978122</v>
      </c>
      <c r="T16" s="105">
        <v>5511</v>
      </c>
    </row>
    <row r="17" spans="1:20" x14ac:dyDescent="0.25">
      <c r="A17" s="833" t="s">
        <v>903</v>
      </c>
      <c r="B17" s="833"/>
      <c r="C17" s="828" t="s">
        <v>904</v>
      </c>
      <c r="D17" s="829"/>
      <c r="E17" s="829"/>
      <c r="F17" s="829"/>
      <c r="G17" s="829"/>
      <c r="H17" s="830"/>
      <c r="I17" s="316" t="s">
        <v>720</v>
      </c>
      <c r="O17" s="49" t="s">
        <v>35</v>
      </c>
      <c r="P17" s="105">
        <v>1722.8703318750379</v>
      </c>
      <c r="Q17" s="105">
        <v>0</v>
      </c>
      <c r="R17" s="105">
        <v>13167.08360060105</v>
      </c>
      <c r="S17" s="105">
        <v>588.54415192662543</v>
      </c>
      <c r="T17" s="105">
        <v>15478.498084402714</v>
      </c>
    </row>
    <row r="18" spans="1:20" x14ac:dyDescent="0.25">
      <c r="A18" s="649" t="s">
        <v>181</v>
      </c>
      <c r="B18" s="649" t="s">
        <v>907</v>
      </c>
      <c r="C18" s="647" t="s">
        <v>90</v>
      </c>
      <c r="D18" s="751"/>
      <c r="E18" s="751"/>
      <c r="F18" s="647" t="s">
        <v>123</v>
      </c>
      <c r="G18" s="647" t="s">
        <v>134</v>
      </c>
      <c r="H18" s="647" t="s">
        <v>704</v>
      </c>
      <c r="I18" s="256" t="s">
        <v>480</v>
      </c>
      <c r="O18" s="49" t="s">
        <v>41</v>
      </c>
      <c r="P18" s="105">
        <v>961.46218655976577</v>
      </c>
      <c r="Q18" s="105">
        <v>0</v>
      </c>
      <c r="R18" s="105">
        <v>2395.7966992010488</v>
      </c>
      <c r="S18" s="105">
        <v>5.7442986544958279</v>
      </c>
      <c r="T18" s="105">
        <v>3363.00318441531</v>
      </c>
    </row>
    <row r="19" spans="1:20" x14ac:dyDescent="0.25">
      <c r="A19" s="649" t="s">
        <v>182</v>
      </c>
      <c r="B19" s="649" t="s">
        <v>908</v>
      </c>
      <c r="C19" s="647" t="s">
        <v>92</v>
      </c>
      <c r="D19" s="751"/>
      <c r="E19" s="751"/>
      <c r="F19" s="647" t="s">
        <v>124</v>
      </c>
      <c r="G19" s="647" t="s">
        <v>143</v>
      </c>
      <c r="H19" s="647" t="s">
        <v>707</v>
      </c>
      <c r="I19" s="256" t="s">
        <v>479</v>
      </c>
      <c r="O19" s="49" t="s">
        <v>37</v>
      </c>
      <c r="P19" s="105">
        <v>386.2290950467895</v>
      </c>
      <c r="Q19" s="105"/>
      <c r="R19" s="105">
        <v>8783.1709070075231</v>
      </c>
      <c r="S19" s="105"/>
      <c r="T19" s="105">
        <v>9169.4000020543117</v>
      </c>
    </row>
    <row r="20" spans="1:20" x14ac:dyDescent="0.25">
      <c r="A20" s="649" t="s">
        <v>183</v>
      </c>
      <c r="B20" s="650"/>
      <c r="C20" s="647" t="s">
        <v>693</v>
      </c>
      <c r="D20" s="647" t="s">
        <v>157</v>
      </c>
      <c r="E20" s="751"/>
      <c r="F20" s="647" t="s">
        <v>129</v>
      </c>
      <c r="G20" s="647" t="s">
        <v>716</v>
      </c>
      <c r="H20" s="647" t="s">
        <v>708</v>
      </c>
      <c r="I20" s="316" t="s">
        <v>719</v>
      </c>
      <c r="O20" s="50" t="s">
        <v>68</v>
      </c>
      <c r="P20" s="106">
        <v>3442.4761543111877</v>
      </c>
      <c r="Q20" s="106">
        <v>4173</v>
      </c>
      <c r="R20" s="106">
        <v>25761.639772033046</v>
      </c>
      <c r="S20" s="106">
        <v>604.76891735109939</v>
      </c>
      <c r="T20" s="106">
        <v>33981</v>
      </c>
    </row>
    <row r="21" spans="1:20" x14ac:dyDescent="0.25">
      <c r="A21" s="649" t="s">
        <v>190</v>
      </c>
      <c r="B21" s="650"/>
      <c r="C21" s="647" t="s">
        <v>692</v>
      </c>
      <c r="D21" s="647" t="s">
        <v>405</v>
      </c>
      <c r="E21" s="751"/>
      <c r="F21" s="647" t="s">
        <v>130</v>
      </c>
      <c r="G21" s="647" t="s">
        <v>144</v>
      </c>
      <c r="H21" s="647" t="s">
        <v>710</v>
      </c>
      <c r="I21" s="316" t="s">
        <v>800</v>
      </c>
    </row>
    <row r="22" spans="1:20" x14ac:dyDescent="0.25">
      <c r="A22" s="649" t="s">
        <v>180</v>
      </c>
      <c r="B22" s="650"/>
      <c r="C22" s="647" t="s">
        <v>91</v>
      </c>
      <c r="D22" s="647" t="s">
        <v>879</v>
      </c>
      <c r="E22" s="647" t="s">
        <v>98</v>
      </c>
      <c r="F22" s="647" t="s">
        <v>275</v>
      </c>
      <c r="G22" s="647" t="s">
        <v>146</v>
      </c>
      <c r="H22" s="647" t="s">
        <v>720</v>
      </c>
      <c r="I22" s="256" t="s">
        <v>478</v>
      </c>
      <c r="O22" s="51">
        <v>2006</v>
      </c>
      <c r="P22" s="52" t="s">
        <v>57</v>
      </c>
      <c r="Q22" s="52" t="s">
        <v>58</v>
      </c>
      <c r="R22" s="52" t="s">
        <v>59</v>
      </c>
      <c r="S22" s="52" t="s">
        <v>67</v>
      </c>
      <c r="T22" s="53" t="s">
        <v>60</v>
      </c>
    </row>
    <row r="23" spans="1:20" x14ac:dyDescent="0.25">
      <c r="A23" s="649" t="s">
        <v>308</v>
      </c>
      <c r="B23" s="650"/>
      <c r="C23" s="647" t="s">
        <v>601</v>
      </c>
      <c r="D23" s="647" t="s">
        <v>162</v>
      </c>
      <c r="E23" s="647" t="s">
        <v>794</v>
      </c>
      <c r="F23" s="647" t="s">
        <v>793</v>
      </c>
      <c r="G23" s="647" t="s">
        <v>862</v>
      </c>
      <c r="H23" s="648"/>
      <c r="I23" s="256" t="s">
        <v>477</v>
      </c>
      <c r="O23" s="54" t="s">
        <v>39</v>
      </c>
      <c r="P23" s="55">
        <v>9.5212997731997179E-2</v>
      </c>
      <c r="Q23" s="55"/>
      <c r="R23" s="55">
        <v>1.7228321684903691</v>
      </c>
      <c r="S23" s="55"/>
      <c r="T23" s="55">
        <v>1.8180451662223662</v>
      </c>
    </row>
    <row r="24" spans="1:20" x14ac:dyDescent="0.25">
      <c r="A24" s="649" t="s">
        <v>309</v>
      </c>
      <c r="B24" s="650"/>
      <c r="C24" s="647" t="s">
        <v>694</v>
      </c>
      <c r="D24" s="647" t="s">
        <v>166</v>
      </c>
      <c r="E24" s="647" t="s">
        <v>101</v>
      </c>
      <c r="F24" s="647" t="s">
        <v>276</v>
      </c>
      <c r="G24" s="647" t="s">
        <v>863</v>
      </c>
      <c r="H24" s="647" t="s">
        <v>480</v>
      </c>
      <c r="O24" s="54" t="s">
        <v>61</v>
      </c>
      <c r="P24" s="55">
        <v>3.0847867945375667</v>
      </c>
      <c r="Q24" s="55">
        <v>20.771307194444443</v>
      </c>
      <c r="R24" s="55">
        <v>3.7125165868453855</v>
      </c>
      <c r="S24" s="55">
        <v>0.50876052281447193</v>
      </c>
      <c r="T24" s="55">
        <v>28.077371098641869</v>
      </c>
    </row>
    <row r="25" spans="1:20" x14ac:dyDescent="0.25">
      <c r="A25" s="649" t="s">
        <v>317</v>
      </c>
      <c r="B25" s="650"/>
      <c r="C25" s="647" t="s">
        <v>695</v>
      </c>
      <c r="D25" s="647" t="s">
        <v>170</v>
      </c>
      <c r="E25" s="647" t="s">
        <v>104</v>
      </c>
      <c r="F25" s="647" t="s">
        <v>287</v>
      </c>
      <c r="G25" s="647" t="s">
        <v>998</v>
      </c>
      <c r="H25" s="647" t="s">
        <v>905</v>
      </c>
      <c r="O25" s="54" t="s">
        <v>35</v>
      </c>
      <c r="P25" s="55">
        <v>14.731145723017812</v>
      </c>
      <c r="Q25" s="55">
        <v>0</v>
      </c>
      <c r="R25" s="55">
        <v>50.37211855892339</v>
      </c>
      <c r="S25" s="55">
        <v>7.7563980791880773</v>
      </c>
      <c r="T25" s="55">
        <v>72.859662361129281</v>
      </c>
    </row>
    <row r="26" spans="1:20" x14ac:dyDescent="0.25">
      <c r="A26" s="649" t="s">
        <v>316</v>
      </c>
      <c r="B26" s="650"/>
      <c r="C26" s="647" t="s">
        <v>745</v>
      </c>
      <c r="D26" s="647" t="s">
        <v>409</v>
      </c>
      <c r="E26" s="751"/>
      <c r="F26" s="647" t="s">
        <v>239</v>
      </c>
      <c r="G26" s="647" t="s">
        <v>149</v>
      </c>
      <c r="H26" s="647" t="s">
        <v>479</v>
      </c>
      <c r="O26" s="54" t="s">
        <v>41</v>
      </c>
      <c r="P26" s="55">
        <v>8.2208389774573831</v>
      </c>
      <c r="Q26" s="55">
        <v>0</v>
      </c>
      <c r="R26" s="55">
        <v>9.1953488633210441</v>
      </c>
      <c r="S26" s="55">
        <v>0.27884944924737032</v>
      </c>
      <c r="T26" s="55">
        <v>17.695037290025798</v>
      </c>
    </row>
    <row r="27" spans="1:20" x14ac:dyDescent="0.25">
      <c r="A27" s="649" t="s">
        <v>315</v>
      </c>
      <c r="B27" s="650"/>
      <c r="C27" s="647" t="s">
        <v>156</v>
      </c>
      <c r="D27" s="647" t="s">
        <v>406</v>
      </c>
      <c r="E27" s="647" t="s">
        <v>106</v>
      </c>
      <c r="F27" s="751"/>
      <c r="G27" s="647" t="s">
        <v>717</v>
      </c>
      <c r="H27" s="647" t="s">
        <v>719</v>
      </c>
      <c r="O27" s="54" t="s">
        <v>37</v>
      </c>
      <c r="P27" s="55">
        <v>3.3023942523935848</v>
      </c>
      <c r="Q27" s="55"/>
      <c r="R27" s="55">
        <v>33.753035634102602</v>
      </c>
      <c r="S27" s="55"/>
      <c r="T27" s="55">
        <v>37.055429886496185</v>
      </c>
    </row>
    <row r="28" spans="1:20" x14ac:dyDescent="0.25">
      <c r="A28" s="649" t="s">
        <v>408</v>
      </c>
      <c r="B28" s="650"/>
      <c r="C28" s="647" t="s">
        <v>939</v>
      </c>
      <c r="D28" s="647" t="s">
        <v>210</v>
      </c>
      <c r="E28" s="647" t="s">
        <v>109</v>
      </c>
      <c r="F28" s="751"/>
      <c r="G28" s="647" t="s">
        <v>148</v>
      </c>
      <c r="H28" s="647" t="s">
        <v>800</v>
      </c>
      <c r="O28" s="56" t="s">
        <v>62</v>
      </c>
      <c r="P28" s="57">
        <v>29.434378745138346</v>
      </c>
      <c r="Q28" s="57">
        <v>20.771307194444443</v>
      </c>
      <c r="R28" s="57">
        <v>98.755851811682788</v>
      </c>
      <c r="S28" s="57">
        <v>8.5440080512499197</v>
      </c>
      <c r="T28" s="57">
        <v>157.50554580251551</v>
      </c>
    </row>
    <row r="29" spans="1:20" x14ac:dyDescent="0.25">
      <c r="A29" s="649" t="s">
        <v>679</v>
      </c>
      <c r="B29" s="650"/>
      <c r="C29" s="647" t="s">
        <v>947</v>
      </c>
      <c r="D29" s="647" t="s">
        <v>211</v>
      </c>
      <c r="E29" s="647" t="s">
        <v>114</v>
      </c>
      <c r="F29" s="751"/>
      <c r="G29" s="647" t="s">
        <v>909</v>
      </c>
      <c r="H29" s="647" t="s">
        <v>478</v>
      </c>
    </row>
    <row r="30" spans="1:20" x14ac:dyDescent="0.25">
      <c r="A30" s="649" t="s">
        <v>682</v>
      </c>
      <c r="B30" s="650"/>
      <c r="C30" s="647" t="s">
        <v>964</v>
      </c>
      <c r="D30" s="647" t="s">
        <v>196</v>
      </c>
      <c r="E30" s="647" t="s">
        <v>118</v>
      </c>
      <c r="F30" s="751"/>
      <c r="G30" s="648"/>
      <c r="H30" s="647" t="s">
        <v>477</v>
      </c>
    </row>
    <row r="31" spans="1:20" x14ac:dyDescent="0.25">
      <c r="A31" s="649" t="s">
        <v>684</v>
      </c>
      <c r="B31" s="650"/>
      <c r="C31" s="751"/>
      <c r="D31" s="647" t="s">
        <v>700</v>
      </c>
      <c r="E31" s="647" t="s">
        <v>121</v>
      </c>
      <c r="F31" s="648"/>
      <c r="G31" s="648"/>
      <c r="H31" s="648"/>
    </row>
    <row r="32" spans="1:20" x14ac:dyDescent="0.25">
      <c r="A32" s="649" t="s">
        <v>688</v>
      </c>
      <c r="B32" s="650"/>
      <c r="C32" s="751"/>
      <c r="D32" s="647" t="s">
        <v>95</v>
      </c>
      <c r="E32" s="647" t="s">
        <v>122</v>
      </c>
      <c r="F32" s="648"/>
      <c r="G32" s="648"/>
      <c r="H32" s="648"/>
    </row>
  </sheetData>
  <mergeCells count="7">
    <mergeCell ref="D1:G1"/>
    <mergeCell ref="A17:B17"/>
    <mergeCell ref="C17:H17"/>
    <mergeCell ref="A5:A10"/>
    <mergeCell ref="P13:T13"/>
    <mergeCell ref="G11:H11"/>
    <mergeCell ref="G12:H12"/>
  </mergeCells>
  <dataValidations count="1">
    <dataValidation type="list" allowBlank="1" showInputMessage="1" showErrorMessage="1" sqref="O22">
      <formula1>$B$7:$B$9</formula1>
    </dataValidation>
  </dataValidations>
  <hyperlinks>
    <hyperlink ref="G11" location="'Synthèse ECO'!A1" display="Lien vers Synthèse ECO"/>
    <hyperlink ref="G11:H11" location="'Synthèse PER'!A1" display="Lien vers Synthèse PER"/>
    <hyperlink ref="G12" location="CALENDRIER!A1" display="Lien vers CALENDRIER"/>
    <hyperlink ref="F13" location="'ADU-113'!A1" display="'ADU-113'!A1"/>
    <hyperlink ref="B13" location="'ADO-1'!A1" display="'ADO-1'!A1"/>
    <hyperlink ref="B14" location="'ADO-2'!A1" display="'ADO-2'!A1"/>
    <hyperlink ref="B15" location="'ADO-3'!A1" display="'ADO-3'!A1"/>
    <hyperlink ref="B16" location="'ADO-4'!A1" display="'ADO-4'!A1"/>
    <hyperlink ref="D13" location="'ADU-1'!A1" display="'ADU-1'!A1"/>
    <hyperlink ref="D14" location="'ADU-2'!A1" display="'ADU-2'!A1"/>
    <hyperlink ref="E13" location="'ADU-5'!A1" display="'ADU-5'!A1"/>
    <hyperlink ref="E14" location="'ADU-6'!A1" display="'ADU-6'!A1"/>
    <hyperlink ref="E15" location="'ADU-61'!A1" display="'ADU-61'!A1"/>
    <hyperlink ref="F15" location="'ADU-12'!A1" display="'ADU-12'!A1"/>
    <hyperlink ref="F16" location="'ADU-13'!A1" display="'ADU-13'!A1"/>
    <hyperlink ref="G13" location="'ADU-20'!A1" display="'ADU-20'!A1"/>
    <hyperlink ref="G14" location="'ADU-21'!A1" display="'ADU-21'!A1"/>
    <hyperlink ref="G15" location="'ADU-22'!A1" display="'ADU-22'!A1"/>
    <hyperlink ref="G16" location="'ADU-23'!A1" display="'ADU-23'!A1"/>
    <hyperlink ref="H13" location="'ADU-30'!A1" display="'ADU-30'!A1"/>
    <hyperlink ref="H14" location="'ADU-31'!A1" display="'ADU-31'!A1"/>
    <hyperlink ref="H16" location="'ADU-32'!A1" display="'ADU-32'!A1"/>
    <hyperlink ref="I13" location="'ADU-361'!A1" display="ADU-361"/>
    <hyperlink ref="I18" location="'ADU-37'!A1" display="'ADU-37'!A1"/>
    <hyperlink ref="I19" location="'ADU-38'!A1" display="'ADU-38'!A1"/>
    <hyperlink ref="I22" location="'ADU-39'!A1" display="'ADU-39'!A1"/>
    <hyperlink ref="I23" location="'ADU-40'!A1" display="ADU-40"/>
    <hyperlink ref="C13" location="'ADO-12'!A1" display="ADO-12"/>
    <hyperlink ref="C14" location="'ADO-13'!A1" display="ADO-13"/>
    <hyperlink ref="C15" location="'ADO-14'!A1" display="ADO-14"/>
    <hyperlink ref="C16" location="'ADO-15'!A1" display="ADO-15"/>
    <hyperlink ref="D15" location="'ADU-221'!A1" display="ADU-221"/>
    <hyperlink ref="D16" location="'ADU-222'!A1" display="ADU-222"/>
    <hyperlink ref="F14" location="'ADU-114'!A1" display="ADU-114"/>
    <hyperlink ref="H15" location="'ADU-311'!A1" display="ADU-311"/>
    <hyperlink ref="I14" location="'ADU-362'!A1" display="ADU-362"/>
    <hyperlink ref="I15" location="'ADU-363'!A1" display="ADU-363"/>
    <hyperlink ref="I16" location="'ADU-364'!A1" display="ADU-364"/>
    <hyperlink ref="I17" location="'ADU-365'!A1" display="ADU-365"/>
    <hyperlink ref="I20" location="'ADU-381'!A1" display="ADU-381"/>
    <hyperlink ref="I21" location="'ADU-389'!A1" display="ADU-389"/>
    <hyperlink ref="A18" location="'ADO-1'!A1" display="'ADO-1'!A1"/>
    <hyperlink ref="A19" location="'ADO-2'!A1" display="'ADO-2'!A1"/>
    <hyperlink ref="A20" location="'ADO-3'!A1" display="'ADO-3'!A1"/>
    <hyperlink ref="A21" location="'ADO-4'!A1" display="'ADO-4'!A1"/>
    <hyperlink ref="A22" location="'ADO-5'!A1" display="'ADO-5'!A1"/>
    <hyperlink ref="A23" location="'ADO-6'!A1" display="'ADO-6'!A1"/>
    <hyperlink ref="A24" location="'ADO-7'!A1" display="'ADO-7'!A1"/>
    <hyperlink ref="A25" location="'ADO-8'!A1" display="'ADO-8'!A1"/>
    <hyperlink ref="A26" location="'ADO-9'!A1" display="'ADO-9'!A1"/>
    <hyperlink ref="A27" location="'ADO-10'!A1" display="'ADO-10'!A1"/>
    <hyperlink ref="A28" location="'ADO-11'!A1" display="'ADO-11'!A1"/>
    <hyperlink ref="A29" location="'ADO-12'!A1" display="ADO-12"/>
    <hyperlink ref="A30" location="'ADO-13'!A1" display="ADO-13"/>
    <hyperlink ref="A31" location="'ADO-14'!A1" display="ADO-14"/>
    <hyperlink ref="A32" location="'ADO-15'!A1" display="ADO-15"/>
    <hyperlink ref="B18" location="'ADO-16'!A1" display="ADO-16"/>
    <hyperlink ref="B19" location="'ADO-17'!A1" display="ADO-17"/>
    <hyperlink ref="D27" location="'ADU-110'!A1" display="'ADU-110'!A1"/>
    <hyperlink ref="D28" location="'ADU-111'!A1" display="'ADU-111'!A1"/>
    <hyperlink ref="D29" location="'ADU-112'!A1" display="'ADU-112'!A1"/>
    <hyperlink ref="D30" location="'ADU-113'!A1" display="'ADU-113'!A1"/>
    <hyperlink ref="C18" location="'ADU-1'!A1" display="'ADU-1'!A1"/>
    <hyperlink ref="C19" location="'ADU-2'!A1" display="'ADU-2'!A1"/>
    <hyperlink ref="C22" location="'ADO-3'!A1" display="'ADO-3'!A1"/>
    <hyperlink ref="C27" location="'ADU-5'!A1" display="'ADU-5'!A1"/>
    <hyperlink ref="D20" location="'ADU-6'!A1" display="'ADU-6'!A1"/>
    <hyperlink ref="D21" location="'ADU-61'!A1" display="'ADU-61'!A1"/>
    <hyperlink ref="D23" location="'ADU-7'!A1" display="'ADU-7'!A1"/>
    <hyperlink ref="D24" location="'ADU-8'!A1" display="'ADU-8'!A1"/>
    <hyperlink ref="D25" location="'ADU-9'!A1" display="'ADU-9'!A1"/>
    <hyperlink ref="D26" location="'ADU-10'!A1" display="'ADU-10'!A1"/>
    <hyperlink ref="D32" location="'ADU-12'!A1" display="'ADU-12'!A1"/>
    <hyperlink ref="E22" location="'ADU-13'!A1" display="'ADU-13'!A1"/>
    <hyperlink ref="E24" location="'ADU-14'!A1" display="'ADU-14'!A1"/>
    <hyperlink ref="E25" location="'ADU-15'!A1" display="'ADU-15'!A1"/>
    <hyperlink ref="E27" location="'ADU-16'!A1" display="'ADU-16'!A1"/>
    <hyperlink ref="E28" location="'ADU-17'!A1" display="'ADU-17'!A1"/>
    <hyperlink ref="E29" location="'ADU-18'!A1" display="'ADU-18'!A1"/>
    <hyperlink ref="E30" location="'ADU-19'!A1" display="'ADU-19'!A1"/>
    <hyperlink ref="E31" location="'ADU-20'!A1" display="'ADU-20'!A1"/>
    <hyperlink ref="E32" location="'ADU-21'!A1" display="'ADU-21'!A1"/>
    <hyperlink ref="F18" location="'ADU-22'!A1" display="'ADU-22'!A1"/>
    <hyperlink ref="F19" location="'ADU-23'!A1" display="'ADU-23'!A1"/>
    <hyperlink ref="F20" location="'ADU-24'!A1" display="'ADU-24'!A1"/>
    <hyperlink ref="F21" location="'ADU-25'!A1" display="'ADU-25'!A1"/>
    <hyperlink ref="F22" location="'ADU-26'!A1" display="'ADU-26'!A1"/>
    <hyperlink ref="F24" location="'ADU-27'!A1" display="'ADU-27'!A1"/>
    <hyperlink ref="F25" location="'ADU-28'!A1" display="'ADU-28'!A1"/>
    <hyperlink ref="F26" location="'ADU-29'!A1" display="'ADU-29'!A1"/>
    <hyperlink ref="G18" location="'ADU-30'!A1" display="'ADU-30'!A1"/>
    <hyperlink ref="G19" location="'ADU-31'!A1" display="'ADU-31'!A1"/>
    <hyperlink ref="G21" location="'ADU-32'!A1" display="'ADU-32'!A1"/>
    <hyperlink ref="G22" location="'ADU-33'!A1" display="'ADU-33'!A1"/>
    <hyperlink ref="G26" location="'ADU-34'!A1" display="'ADU-34'!A1"/>
    <hyperlink ref="G28" location="'ADU-35'!A1" display="'ADU-35'!A1"/>
    <hyperlink ref="C20" location="'ADU-221'!A1" display="ADU-221"/>
    <hyperlink ref="C21" location="'ADU-222'!A1" display="ADU-222"/>
    <hyperlink ref="C23" location="'ADU-41'!A1" display="ADU-41"/>
    <hyperlink ref="C24" location="'ADU-42'!A1" display="ADU-42"/>
    <hyperlink ref="C25" location="'ADU-43'!A1" display="ADU-43"/>
    <hyperlink ref="D31" location="'ADU-114'!A1" display="ADU-114"/>
    <hyperlink ref="G20" location="'ADU-311'!A1" display="ADU-311"/>
    <hyperlink ref="G27" location="'ADU-341'!A1" display="ADU-341"/>
    <hyperlink ref="C26" location="'ADU-44'!A1" display="ADU-44"/>
    <hyperlink ref="E23" location="'ADU-131'!A1" display="ADU-131"/>
    <hyperlink ref="F23" location="'ADU-261'!A1" display="ADU-261"/>
    <hyperlink ref="D22" location="'ADU-62'!A1" display="ADU-62"/>
    <hyperlink ref="G23" location="'ADU-331'!A1" display="ADU-331"/>
    <hyperlink ref="G24" location="'ADU-332'!A1" display="ADU-332"/>
    <hyperlink ref="G29" location="'ADU-351'!A1" display="ADU-351"/>
    <hyperlink ref="H18" location="'ADU-361'!A1" display="ADU-361"/>
    <hyperlink ref="H19" location="'ADU-362'!A1" display="ADU-362"/>
    <hyperlink ref="H20" location="'ADU-363'!A1" display="ADU-363"/>
    <hyperlink ref="H21" location="'ADU-364'!A1" display="ADU-364"/>
    <hyperlink ref="H22" location="'ADU-365'!A1" display="ADU-365"/>
    <hyperlink ref="H24" location="'ADU-37'!A1" display="ADU-37"/>
    <hyperlink ref="H25" location="'ADU-371'!A1" display="ADU-371"/>
    <hyperlink ref="H26" location="'ADU-38'!A1" display="ADU-38"/>
    <hyperlink ref="H27" location="'ADU-381'!A1" display="ADU-381"/>
    <hyperlink ref="H28" location="'ADU-389'!A1" display="ADU-389"/>
    <hyperlink ref="H29" location="'ADU-39'!A1" display="ADU-39"/>
    <hyperlink ref="H30" location="'ADU-40'!A1" display="ADU-40"/>
    <hyperlink ref="C28" location="'ADU-51'!A1" display="ADU-51"/>
    <hyperlink ref="C29" location="'ADU-52'!A1" display="ADU-52"/>
    <hyperlink ref="C30" location="'ADU-53'!A1" display="ADU-53"/>
    <hyperlink ref="G25" location="'ADU-333'!A1" display="ADU-333"/>
  </hyperlinks>
  <pageMargins left="0.70866141732283472" right="0.70866141732283472" top="0.74803149606299213" bottom="0.74803149606299213" header="0.31496062992125984" footer="0.31496062992125984"/>
  <pageSetup paperSize="9" scale="97" orientation="landscape" horizontalDpi="300" verticalDpi="3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28"/>
  <sheetViews>
    <sheetView zoomScaleNormal="100" zoomScaleSheetLayoutView="96"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2" ht="21" x14ac:dyDescent="0.35">
      <c r="A1" s="11" t="s">
        <v>87</v>
      </c>
      <c r="B1" s="11"/>
      <c r="C1" s="11"/>
      <c r="D1" s="11"/>
      <c r="E1" s="11"/>
    </row>
    <row r="2" spans="1:12" ht="26.25" x14ac:dyDescent="0.4">
      <c r="A2" s="856" t="s">
        <v>913</v>
      </c>
      <c r="B2" s="856"/>
      <c r="C2" s="856"/>
      <c r="D2" s="856"/>
      <c r="E2" s="856"/>
    </row>
    <row r="3" spans="1:12" ht="27" thickBot="1" x14ac:dyDescent="0.45">
      <c r="A3" s="107"/>
      <c r="B3" s="107"/>
      <c r="C3" s="107"/>
      <c r="D3" s="107"/>
      <c r="E3" s="107"/>
    </row>
    <row r="4" spans="1:12" ht="15.75" thickBot="1" x14ac:dyDescent="0.3">
      <c r="A4" s="12"/>
      <c r="B4" s="233" t="s">
        <v>469</v>
      </c>
      <c r="C4" s="851" t="s">
        <v>611</v>
      </c>
      <c r="D4" s="852"/>
      <c r="E4" s="175" t="s">
        <v>91</v>
      </c>
      <c r="G4" s="848" t="s">
        <v>914</v>
      </c>
      <c r="H4" s="848"/>
      <c r="I4" s="848"/>
    </row>
    <row r="5" spans="1:12" ht="18.75" customHeight="1" x14ac:dyDescent="0.25">
      <c r="A5" s="381" t="s">
        <v>651</v>
      </c>
      <c r="B5" s="382" t="s">
        <v>657</v>
      </c>
      <c r="C5" s="820" t="s">
        <v>18</v>
      </c>
      <c r="D5" s="820"/>
      <c r="E5" s="232" t="s">
        <v>21</v>
      </c>
      <c r="G5" s="848" t="s">
        <v>915</v>
      </c>
      <c r="H5" s="848"/>
      <c r="I5" s="848"/>
    </row>
    <row r="6" spans="1:12" ht="16.5" thickBot="1" x14ac:dyDescent="0.3">
      <c r="A6" s="379" t="s">
        <v>660</v>
      </c>
      <c r="B6" s="380" t="s">
        <v>653</v>
      </c>
      <c r="C6" s="16"/>
      <c r="D6" s="16"/>
      <c r="E6" s="16"/>
      <c r="G6" s="850" t="s">
        <v>916</v>
      </c>
      <c r="H6" s="850"/>
      <c r="I6" s="850"/>
    </row>
    <row r="7" spans="1:12" ht="24" customHeight="1" thickBot="1" x14ac:dyDescent="0.3">
      <c r="A7" s="207" t="s">
        <v>1</v>
      </c>
      <c r="B7" s="820" t="s">
        <v>457</v>
      </c>
      <c r="C7" s="820"/>
      <c r="D7" s="820"/>
      <c r="E7" s="820"/>
    </row>
    <row r="8" spans="1:12" ht="24" customHeight="1" thickBot="1" x14ac:dyDescent="0.3">
      <c r="A8" s="207" t="s">
        <v>0</v>
      </c>
      <c r="B8" s="820" t="s">
        <v>458</v>
      </c>
      <c r="C8" s="820"/>
      <c r="D8" s="820"/>
      <c r="E8" s="820"/>
    </row>
    <row r="9" spans="1:12" ht="137.25" customHeight="1" x14ac:dyDescent="0.25">
      <c r="A9" s="208" t="s">
        <v>2</v>
      </c>
      <c r="B9" s="890" t="s">
        <v>459</v>
      </c>
      <c r="C9" s="889"/>
      <c r="D9" s="889"/>
      <c r="E9" s="889"/>
      <c r="G9" s="205" t="s">
        <v>460</v>
      </c>
      <c r="H9" s="205" t="s">
        <v>461</v>
      </c>
      <c r="I9" s="205" t="s">
        <v>274</v>
      </c>
      <c r="J9" s="205" t="s">
        <v>160</v>
      </c>
      <c r="K9" s="205" t="s">
        <v>272</v>
      </c>
      <c r="L9" s="205" t="s">
        <v>235</v>
      </c>
    </row>
    <row r="10" spans="1:12" ht="54" customHeight="1" x14ac:dyDescent="0.25">
      <c r="A10" s="208" t="s">
        <v>31</v>
      </c>
      <c r="B10" s="889" t="s">
        <v>462</v>
      </c>
      <c r="C10" s="889"/>
      <c r="D10" s="889"/>
      <c r="E10" s="889"/>
      <c r="G10" s="205">
        <v>846561</v>
      </c>
      <c r="H10" s="205">
        <v>285348</v>
      </c>
      <c r="I10" s="205">
        <v>0.24</v>
      </c>
      <c r="J10" s="205">
        <v>0.26100000000000001</v>
      </c>
      <c r="K10" s="205">
        <v>0.36499999999999999</v>
      </c>
      <c r="L10" s="205">
        <v>65</v>
      </c>
    </row>
    <row r="11" spans="1:12" ht="30" customHeight="1" x14ac:dyDescent="0.25">
      <c r="A11" s="209" t="s">
        <v>16</v>
      </c>
      <c r="B11" s="874" t="s">
        <v>518</v>
      </c>
      <c r="C11" s="874"/>
      <c r="D11" s="874"/>
      <c r="E11" s="874"/>
    </row>
    <row r="12" spans="1:12" ht="30" customHeight="1" x14ac:dyDescent="0.25">
      <c r="A12" s="209" t="s">
        <v>3</v>
      </c>
      <c r="B12" s="874"/>
      <c r="C12" s="874"/>
      <c r="D12" s="874"/>
      <c r="E12" s="874"/>
    </row>
    <row r="13" spans="1:12" ht="30" customHeight="1" x14ac:dyDescent="0.25">
      <c r="A13" s="209" t="s">
        <v>17</v>
      </c>
      <c r="B13" s="874" t="s">
        <v>79</v>
      </c>
      <c r="C13" s="874"/>
      <c r="D13" s="874"/>
      <c r="E13" s="874"/>
    </row>
    <row r="14" spans="1:12" ht="30" customHeight="1" x14ac:dyDescent="0.25">
      <c r="A14" s="209" t="s">
        <v>4</v>
      </c>
      <c r="B14" s="905">
        <v>2008</v>
      </c>
      <c r="C14" s="906"/>
      <c r="D14" s="906"/>
      <c r="E14" s="907"/>
    </row>
    <row r="15" spans="1:12" ht="30" customHeight="1" x14ac:dyDescent="0.25">
      <c r="A15" s="209" t="s">
        <v>5</v>
      </c>
      <c r="B15" s="905">
        <v>2008</v>
      </c>
      <c r="C15" s="906"/>
      <c r="D15" s="906"/>
      <c r="E15" s="907"/>
    </row>
    <row r="16" spans="1:12" ht="30" customHeight="1" x14ac:dyDescent="0.25">
      <c r="A16" s="209" t="s">
        <v>6</v>
      </c>
      <c r="B16" s="908">
        <v>0</v>
      </c>
      <c r="C16" s="909"/>
      <c r="D16" s="909"/>
      <c r="E16" s="910"/>
    </row>
    <row r="17" spans="1:8" ht="30" customHeight="1" x14ac:dyDescent="0.25">
      <c r="A17" s="209" t="s">
        <v>7</v>
      </c>
      <c r="B17" s="908">
        <v>0</v>
      </c>
      <c r="C17" s="909"/>
      <c r="D17" s="909"/>
      <c r="E17" s="910"/>
    </row>
    <row r="18" spans="1:8" ht="30" customHeight="1" x14ac:dyDescent="0.25">
      <c r="A18" s="210" t="s">
        <v>468</v>
      </c>
      <c r="B18" s="911"/>
      <c r="C18" s="912"/>
      <c r="D18" s="912"/>
      <c r="E18" s="913"/>
      <c r="G18" s="2"/>
      <c r="H18" s="2"/>
    </row>
    <row r="19" spans="1:8" ht="30" customHeight="1" x14ac:dyDescent="0.25">
      <c r="A19" s="238" t="s">
        <v>467</v>
      </c>
      <c r="B19" s="914">
        <f>G10+H10</f>
        <v>1131909</v>
      </c>
      <c r="C19" s="915"/>
      <c r="D19" s="915"/>
      <c r="E19" s="916"/>
      <c r="G19" s="2"/>
      <c r="H19" s="2"/>
    </row>
    <row r="20" spans="1:8" ht="30" customHeight="1" x14ac:dyDescent="0.25">
      <c r="A20" s="209" t="s">
        <v>8</v>
      </c>
      <c r="B20" s="845">
        <f>H10*I10</f>
        <v>68483.520000000004</v>
      </c>
      <c r="C20" s="845"/>
      <c r="D20" s="845"/>
      <c r="E20" s="845"/>
    </row>
    <row r="21" spans="1:8" ht="30" customHeight="1" x14ac:dyDescent="0.25">
      <c r="A21" s="209" t="s">
        <v>9</v>
      </c>
      <c r="B21" s="845">
        <f>H10/1000*L10</f>
        <v>18547.620000000003</v>
      </c>
      <c r="C21" s="845"/>
      <c r="D21" s="845"/>
      <c r="E21" s="845"/>
    </row>
    <row r="22" spans="1:8" ht="30" customHeight="1" x14ac:dyDescent="0.25">
      <c r="A22" s="209" t="s">
        <v>465</v>
      </c>
      <c r="B22" s="846">
        <f>B16/(B20+B21)</f>
        <v>0</v>
      </c>
      <c r="C22" s="846"/>
      <c r="D22" s="846"/>
      <c r="E22" s="846"/>
    </row>
    <row r="23" spans="1:8" ht="30" customHeight="1" x14ac:dyDescent="0.25">
      <c r="A23" s="209" t="s">
        <v>466</v>
      </c>
      <c r="B23" s="847">
        <f>(B16-B17)/(B20+B21)</f>
        <v>0</v>
      </c>
      <c r="C23" s="847"/>
      <c r="D23" s="847"/>
      <c r="E23" s="847"/>
    </row>
    <row r="24" spans="1:8" ht="30" customHeight="1" x14ac:dyDescent="0.25">
      <c r="A24" s="211" t="s">
        <v>476</v>
      </c>
      <c r="B24" s="901">
        <f>G10/1000*J10+H10/1000*K10</f>
        <v>325.10444100000001</v>
      </c>
      <c r="C24" s="901"/>
      <c r="D24" s="901"/>
      <c r="E24" s="901"/>
    </row>
    <row r="25" spans="1:8" ht="30" customHeight="1" x14ac:dyDescent="0.25">
      <c r="A25" s="212" t="s">
        <v>463</v>
      </c>
      <c r="B25" s="881">
        <f>B24/'Objectifs CO2'!C9</f>
        <v>0.94219864933270103</v>
      </c>
      <c r="C25" s="881"/>
      <c r="D25" s="881"/>
      <c r="E25" s="881"/>
    </row>
    <row r="26" spans="1:8" ht="30" customHeight="1" x14ac:dyDescent="0.25">
      <c r="A26" s="213" t="s">
        <v>464</v>
      </c>
      <c r="B26" s="881">
        <f>B24/'Objectifs CO2'!C8</f>
        <v>4.710993246663505E-2</v>
      </c>
      <c r="C26" s="881"/>
      <c r="D26" s="881"/>
      <c r="E26" s="881"/>
    </row>
    <row r="27" spans="1:8" ht="30" customHeight="1" x14ac:dyDescent="0.25">
      <c r="A27" s="213" t="s">
        <v>24</v>
      </c>
      <c r="B27" s="853"/>
      <c r="C27" s="853"/>
      <c r="D27" s="853"/>
      <c r="E27" s="853"/>
    </row>
    <row r="28" spans="1:8" ht="30" customHeight="1" x14ac:dyDescent="0.25">
      <c r="A28" s="213" t="s">
        <v>418</v>
      </c>
      <c r="B28" s="853"/>
      <c r="C28" s="853"/>
      <c r="D28" s="853"/>
      <c r="E28" s="853"/>
    </row>
  </sheetData>
  <mergeCells count="28">
    <mergeCell ref="A2:E2"/>
    <mergeCell ref="C5:D5"/>
    <mergeCell ref="B7:E7"/>
    <mergeCell ref="B8:E8"/>
    <mergeCell ref="B22:E22"/>
    <mergeCell ref="B10:E10"/>
    <mergeCell ref="B11:E11"/>
    <mergeCell ref="B12:E12"/>
    <mergeCell ref="B13:E13"/>
    <mergeCell ref="B14:E14"/>
    <mergeCell ref="B15:E15"/>
    <mergeCell ref="B16:E16"/>
    <mergeCell ref="B17:E17"/>
    <mergeCell ref="B18:E18"/>
    <mergeCell ref="B19:E19"/>
    <mergeCell ref="G4:I4"/>
    <mergeCell ref="G5:I5"/>
    <mergeCell ref="B23:E23"/>
    <mergeCell ref="B24:E24"/>
    <mergeCell ref="B28:E28"/>
    <mergeCell ref="B9:E9"/>
    <mergeCell ref="B25:E25"/>
    <mergeCell ref="B26:E26"/>
    <mergeCell ref="B27:E27"/>
    <mergeCell ref="B20:E20"/>
    <mergeCell ref="B21:E21"/>
    <mergeCell ref="G6:I6"/>
    <mergeCell ref="C4:D4"/>
  </mergeCells>
  <conditionalFormatting sqref="E5">
    <cfRule type="containsText" dxfId="194" priority="1" operator="containsText" text="Terminé">
      <formula>NOT(ISERROR(SEARCH("Terminé",E5)))</formula>
    </cfRule>
    <cfRule type="containsText" dxfId="193" priority="2" operator="containsText" text="En cours">
      <formula>NOT(ISERROR(SEARCH("En cours",E5)))</formula>
    </cfRule>
    <cfRule type="containsText" dxfId="192" priority="3" operator="containsText" text="A faire">
      <formula>NOT(ISERROR(SEARCH("A faire",E5)))</formula>
    </cfRule>
  </conditionalFormatting>
  <hyperlinks>
    <hyperlink ref="G4:I4" location="'Objectifs CO2'!A1" display="Lien vers Objectifs CO2"/>
    <hyperlink ref="G5:I5" location="'Synthèse CO2'!A1" display="Lien synthèse CO2"/>
    <hyperlink ref="G6" location="CALENDRIER!A1" display="Lien vers CALENDRIER"/>
  </hyperlinks>
  <pageMargins left="0.7" right="0.7" top="0.75" bottom="0.75" header="0.3" footer="0.3"/>
  <pageSetup paperSize="9" scale="83"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28"/>
  <sheetViews>
    <sheetView topLeftCell="A19" zoomScaleNormal="100" zoomScaleSheetLayoutView="98"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1" ht="21" x14ac:dyDescent="0.35">
      <c r="A1" s="11" t="s">
        <v>87</v>
      </c>
      <c r="B1" s="11"/>
      <c r="C1" s="11"/>
      <c r="D1" s="11"/>
      <c r="E1" s="11"/>
    </row>
    <row r="2" spans="1:11" ht="26.25" x14ac:dyDescent="0.4">
      <c r="A2" s="856" t="s">
        <v>913</v>
      </c>
      <c r="B2" s="856"/>
      <c r="C2" s="856"/>
      <c r="D2" s="856"/>
      <c r="E2" s="856"/>
    </row>
    <row r="3" spans="1:11" ht="27" thickBot="1" x14ac:dyDescent="0.45">
      <c r="A3" s="112"/>
      <c r="B3" s="112"/>
      <c r="C3" s="112"/>
      <c r="D3" s="112"/>
      <c r="E3" s="112"/>
    </row>
    <row r="4" spans="1:11" ht="15.75" thickBot="1" x14ac:dyDescent="0.3">
      <c r="A4" s="12"/>
      <c r="B4" s="233" t="s">
        <v>469</v>
      </c>
      <c r="C4" s="851" t="s">
        <v>40</v>
      </c>
      <c r="D4" s="852"/>
      <c r="E4" s="175" t="s">
        <v>156</v>
      </c>
      <c r="G4" s="848" t="s">
        <v>914</v>
      </c>
      <c r="H4" s="848"/>
      <c r="I4" s="848"/>
    </row>
    <row r="5" spans="1:11" ht="18.75" customHeight="1" x14ac:dyDescent="0.25">
      <c r="A5" s="381" t="s">
        <v>651</v>
      </c>
      <c r="B5" s="382" t="s">
        <v>652</v>
      </c>
      <c r="C5" s="820" t="s">
        <v>18</v>
      </c>
      <c r="D5" s="820"/>
      <c r="E5" s="232" t="s">
        <v>21</v>
      </c>
      <c r="G5" s="848" t="s">
        <v>915</v>
      </c>
      <c r="H5" s="848"/>
      <c r="I5" s="848"/>
    </row>
    <row r="6" spans="1:11" ht="16.5" thickBot="1" x14ac:dyDescent="0.3">
      <c r="A6" s="379" t="s">
        <v>660</v>
      </c>
      <c r="B6" s="380" t="s">
        <v>398</v>
      </c>
      <c r="C6" s="16"/>
      <c r="D6" s="16"/>
      <c r="E6" s="16"/>
      <c r="G6" s="850" t="s">
        <v>916</v>
      </c>
      <c r="H6" s="850"/>
      <c r="I6" s="850"/>
    </row>
    <row r="7" spans="1:11" ht="24" customHeight="1" thickBot="1" x14ac:dyDescent="0.3">
      <c r="A7" s="207" t="s">
        <v>1</v>
      </c>
      <c r="B7" s="820" t="s">
        <v>163</v>
      </c>
      <c r="C7" s="820"/>
      <c r="D7" s="820"/>
      <c r="E7" s="820"/>
    </row>
    <row r="8" spans="1:11" ht="24" customHeight="1" thickBot="1" x14ac:dyDescent="0.3">
      <c r="A8" s="207" t="s">
        <v>0</v>
      </c>
      <c r="B8" s="820" t="s">
        <v>164</v>
      </c>
      <c r="C8" s="820"/>
      <c r="D8" s="820"/>
      <c r="E8" s="820"/>
    </row>
    <row r="9" spans="1:11" ht="91.5" customHeight="1" x14ac:dyDescent="0.25">
      <c r="A9" s="208" t="s">
        <v>2</v>
      </c>
      <c r="B9" s="890" t="s">
        <v>165</v>
      </c>
      <c r="C9" s="890"/>
      <c r="D9" s="890"/>
      <c r="E9" s="890"/>
      <c r="G9" s="114" t="s">
        <v>154</v>
      </c>
      <c r="H9" s="115" t="s">
        <v>155</v>
      </c>
      <c r="I9" s="115"/>
      <c r="J9" s="115" t="s">
        <v>161</v>
      </c>
      <c r="K9" s="115" t="s">
        <v>160</v>
      </c>
    </row>
    <row r="10" spans="1:11" ht="54" customHeight="1" x14ac:dyDescent="0.25">
      <c r="A10" s="208" t="s">
        <v>31</v>
      </c>
      <c r="B10" s="889" t="s">
        <v>193</v>
      </c>
      <c r="C10" s="889"/>
      <c r="D10" s="889"/>
      <c r="E10" s="889"/>
      <c r="G10" s="114">
        <v>13700</v>
      </c>
      <c r="H10" s="115">
        <f>G10*10</f>
        <v>137000</v>
      </c>
      <c r="I10" s="115"/>
      <c r="J10" s="115">
        <v>0.86</v>
      </c>
      <c r="K10" s="115">
        <v>0.26100000000000001</v>
      </c>
    </row>
    <row r="11" spans="1:11" ht="30" customHeight="1" x14ac:dyDescent="0.25">
      <c r="A11" s="209" t="s">
        <v>16</v>
      </c>
      <c r="B11" s="874" t="s">
        <v>86</v>
      </c>
      <c r="C11" s="874"/>
      <c r="D11" s="874"/>
      <c r="E11" s="874"/>
    </row>
    <row r="12" spans="1:11" ht="30" customHeight="1" x14ac:dyDescent="0.25">
      <c r="A12" s="209" t="s">
        <v>3</v>
      </c>
      <c r="B12" s="874"/>
      <c r="C12" s="874"/>
      <c r="D12" s="874"/>
      <c r="E12" s="874"/>
    </row>
    <row r="13" spans="1:11" ht="30" customHeight="1" x14ac:dyDescent="0.25">
      <c r="A13" s="209" t="s">
        <v>17</v>
      </c>
      <c r="B13" s="874"/>
      <c r="C13" s="874"/>
      <c r="D13" s="874"/>
      <c r="E13" s="874"/>
    </row>
    <row r="14" spans="1:11" ht="30" customHeight="1" x14ac:dyDescent="0.25">
      <c r="A14" s="209" t="s">
        <v>4</v>
      </c>
      <c r="B14" s="874">
        <v>2006</v>
      </c>
      <c r="C14" s="874"/>
      <c r="D14" s="874"/>
      <c r="E14" s="874"/>
    </row>
    <row r="15" spans="1:11" ht="30" customHeight="1" x14ac:dyDescent="0.25">
      <c r="A15" s="209" t="s">
        <v>5</v>
      </c>
      <c r="B15" s="874">
        <v>2015</v>
      </c>
      <c r="C15" s="874"/>
      <c r="D15" s="874"/>
      <c r="E15" s="874"/>
    </row>
    <row r="16" spans="1:11" ht="30" customHeight="1" x14ac:dyDescent="0.25">
      <c r="A16" s="209" t="s">
        <v>6</v>
      </c>
      <c r="B16" s="845">
        <v>319035</v>
      </c>
      <c r="C16" s="845"/>
      <c r="D16" s="845"/>
      <c r="E16" s="845"/>
    </row>
    <row r="17" spans="1:8" ht="30" customHeight="1" x14ac:dyDescent="0.25">
      <c r="A17" s="209" t="s">
        <v>7</v>
      </c>
      <c r="B17" s="845">
        <v>259056</v>
      </c>
      <c r="C17" s="845"/>
      <c r="D17" s="845"/>
      <c r="E17" s="845"/>
    </row>
    <row r="18" spans="1:8" ht="30" customHeight="1" x14ac:dyDescent="0.25">
      <c r="A18" s="210" t="s">
        <v>468</v>
      </c>
      <c r="B18" s="868">
        <f>H10</f>
        <v>137000</v>
      </c>
      <c r="C18" s="869"/>
      <c r="D18" s="869"/>
      <c r="E18" s="869"/>
      <c r="H18" s="2"/>
    </row>
    <row r="19" spans="1:8" ht="30" customHeight="1" x14ac:dyDescent="0.25">
      <c r="A19" s="238" t="s">
        <v>467</v>
      </c>
      <c r="B19" s="870"/>
      <c r="C19" s="871"/>
      <c r="D19" s="871"/>
      <c r="E19" s="871"/>
      <c r="H19" s="2"/>
    </row>
    <row r="20" spans="1:8" ht="30" customHeight="1" x14ac:dyDescent="0.25">
      <c r="A20" s="209" t="s">
        <v>8</v>
      </c>
      <c r="B20" s="845">
        <f>G10*J10</f>
        <v>11782</v>
      </c>
      <c r="C20" s="845"/>
      <c r="D20" s="845"/>
      <c r="E20" s="845"/>
    </row>
    <row r="21" spans="1:8" ht="30" customHeight="1" x14ac:dyDescent="0.25">
      <c r="A21" s="209" t="s">
        <v>9</v>
      </c>
      <c r="B21" s="845"/>
      <c r="C21" s="845"/>
      <c r="D21" s="845"/>
      <c r="E21" s="845"/>
    </row>
    <row r="22" spans="1:8" ht="30" customHeight="1" x14ac:dyDescent="0.25">
      <c r="A22" s="209" t="s">
        <v>465</v>
      </c>
      <c r="B22" s="846">
        <f>B16/(B20+B21)</f>
        <v>27.078170089967749</v>
      </c>
      <c r="C22" s="846"/>
      <c r="D22" s="846"/>
      <c r="E22" s="846"/>
    </row>
    <row r="23" spans="1:8" ht="30" customHeight="1" x14ac:dyDescent="0.25">
      <c r="A23" s="209" t="s">
        <v>466</v>
      </c>
      <c r="B23" s="847">
        <f>(B16-B17)/(B20+B21)</f>
        <v>5.0907316245119674</v>
      </c>
      <c r="C23" s="847"/>
      <c r="D23" s="847"/>
      <c r="E23" s="847"/>
    </row>
    <row r="24" spans="1:8" ht="30" customHeight="1" x14ac:dyDescent="0.25">
      <c r="A24" s="211" t="s">
        <v>476</v>
      </c>
      <c r="B24" s="901">
        <f>B18*K10/1000</f>
        <v>35.756999999999998</v>
      </c>
      <c r="C24" s="901"/>
      <c r="D24" s="901"/>
      <c r="E24" s="901"/>
    </row>
    <row r="25" spans="1:8" ht="30" customHeight="1" x14ac:dyDescent="0.25">
      <c r="A25" s="212" t="s">
        <v>463</v>
      </c>
      <c r="B25" s="881">
        <f>B24/'Objectifs CO2'!C15</f>
        <v>2.5907210772452498E-2</v>
      </c>
      <c r="C25" s="881"/>
      <c r="D25" s="881"/>
      <c r="E25" s="881"/>
    </row>
    <row r="26" spans="1:8" ht="30" customHeight="1" x14ac:dyDescent="0.25">
      <c r="A26" s="213" t="s">
        <v>464</v>
      </c>
      <c r="B26" s="881">
        <f>B24/'Objectifs CO2'!C8</f>
        <v>5.181442154490499E-3</v>
      </c>
      <c r="C26" s="881"/>
      <c r="D26" s="881"/>
      <c r="E26" s="881"/>
    </row>
    <row r="27" spans="1:8" ht="30" customHeight="1" x14ac:dyDescent="0.25">
      <c r="A27" s="213" t="s">
        <v>24</v>
      </c>
      <c r="B27" s="853"/>
      <c r="C27" s="853"/>
      <c r="D27" s="853"/>
      <c r="E27" s="853"/>
    </row>
    <row r="28" spans="1:8" ht="30" customHeight="1" x14ac:dyDescent="0.25">
      <c r="A28" s="213" t="s">
        <v>418</v>
      </c>
      <c r="B28" s="853"/>
      <c r="C28" s="853"/>
      <c r="D28" s="853"/>
      <c r="E28" s="853"/>
    </row>
  </sheetData>
  <mergeCells count="28">
    <mergeCell ref="A2:E2"/>
    <mergeCell ref="C5:D5"/>
    <mergeCell ref="B7:E7"/>
    <mergeCell ref="B8:E8"/>
    <mergeCell ref="B22:E22"/>
    <mergeCell ref="B10:E10"/>
    <mergeCell ref="B11:E11"/>
    <mergeCell ref="B12:E12"/>
    <mergeCell ref="B13:E13"/>
    <mergeCell ref="B14:E14"/>
    <mergeCell ref="B15:E15"/>
    <mergeCell ref="B16:E16"/>
    <mergeCell ref="B17:E17"/>
    <mergeCell ref="B18:E18"/>
    <mergeCell ref="B19:E19"/>
    <mergeCell ref="G4:I4"/>
    <mergeCell ref="G5:I5"/>
    <mergeCell ref="B23:E23"/>
    <mergeCell ref="B24:E24"/>
    <mergeCell ref="B28:E28"/>
    <mergeCell ref="B9:E9"/>
    <mergeCell ref="B25:E25"/>
    <mergeCell ref="B26:E26"/>
    <mergeCell ref="B27:E27"/>
    <mergeCell ref="B20:E20"/>
    <mergeCell ref="B21:E21"/>
    <mergeCell ref="G6:I6"/>
    <mergeCell ref="C4:D4"/>
  </mergeCells>
  <conditionalFormatting sqref="E5">
    <cfRule type="containsText" dxfId="191" priority="1" operator="containsText" text="Terminé">
      <formula>NOT(ISERROR(SEARCH("Terminé",E5)))</formula>
    </cfRule>
    <cfRule type="containsText" dxfId="190" priority="2" operator="containsText" text="En cours">
      <formula>NOT(ISERROR(SEARCH("En cours",E5)))</formula>
    </cfRule>
    <cfRule type="containsText" dxfId="189" priority="3" operator="containsText" text="A faire">
      <formula>NOT(ISERROR(SEARCH("A faire",E5)))</formula>
    </cfRule>
  </conditionalFormatting>
  <hyperlinks>
    <hyperlink ref="G4:I4" location="'Objectifs CO2'!A1" display="Lien vers Objectifs CO2"/>
    <hyperlink ref="G5:I5" location="'Synthèse CO2'!A1" display="Lien synthèse CO2"/>
    <hyperlink ref="G6" location="CALENDRIER!A1" display="Lien vers CALENDRIER"/>
  </hyperlinks>
  <pageMargins left="0.7" right="0.7" top="0.75" bottom="0.75" header="0.3" footer="0.3"/>
  <pageSetup paperSize="9" scale="88"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8"/>
  <sheetViews>
    <sheetView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1" ht="21" x14ac:dyDescent="0.35">
      <c r="A1" s="11" t="s">
        <v>87</v>
      </c>
      <c r="B1" s="11"/>
      <c r="C1" s="11"/>
      <c r="D1" s="11"/>
      <c r="E1" s="11"/>
    </row>
    <row r="2" spans="1:11" ht="26.25" x14ac:dyDescent="0.4">
      <c r="A2" s="856" t="s">
        <v>913</v>
      </c>
      <c r="B2" s="856"/>
      <c r="C2" s="856"/>
      <c r="D2" s="856"/>
      <c r="E2" s="856"/>
    </row>
    <row r="3" spans="1:11" ht="27" thickBot="1" x14ac:dyDescent="0.45">
      <c r="A3" s="637"/>
      <c r="B3" s="637"/>
      <c r="C3" s="637"/>
      <c r="D3" s="637"/>
      <c r="E3" s="637"/>
    </row>
    <row r="4" spans="1:11" ht="15.75" thickBot="1" x14ac:dyDescent="0.3">
      <c r="A4" s="12"/>
      <c r="B4" s="233" t="s">
        <v>469</v>
      </c>
      <c r="C4" s="851" t="s">
        <v>41</v>
      </c>
      <c r="D4" s="852"/>
      <c r="E4" s="175" t="s">
        <v>939</v>
      </c>
      <c r="G4" s="848" t="s">
        <v>914</v>
      </c>
      <c r="H4" s="848"/>
      <c r="I4" s="848"/>
    </row>
    <row r="5" spans="1:11" ht="18.75" customHeight="1" x14ac:dyDescent="0.25">
      <c r="A5" s="381" t="s">
        <v>651</v>
      </c>
      <c r="B5" s="382" t="s">
        <v>652</v>
      </c>
      <c r="C5" s="820" t="s">
        <v>18</v>
      </c>
      <c r="D5" s="820"/>
      <c r="E5" s="232" t="s">
        <v>21</v>
      </c>
      <c r="G5" s="848" t="s">
        <v>915</v>
      </c>
      <c r="H5" s="848"/>
      <c r="I5" s="848"/>
    </row>
    <row r="6" spans="1:11" ht="16.5" thickBot="1" x14ac:dyDescent="0.3">
      <c r="A6" s="379" t="s">
        <v>660</v>
      </c>
      <c r="B6" s="380" t="s">
        <v>398</v>
      </c>
      <c r="C6" s="16"/>
      <c r="D6" s="16"/>
      <c r="E6" s="16"/>
      <c r="G6" s="850" t="s">
        <v>916</v>
      </c>
      <c r="H6" s="850"/>
      <c r="I6" s="850"/>
    </row>
    <row r="7" spans="1:11" ht="24" customHeight="1" thickBot="1" x14ac:dyDescent="0.3">
      <c r="A7" s="207" t="s">
        <v>1</v>
      </c>
      <c r="B7" s="820" t="s">
        <v>940</v>
      </c>
      <c r="C7" s="820"/>
      <c r="D7" s="820"/>
      <c r="E7" s="820"/>
    </row>
    <row r="8" spans="1:11" ht="24" customHeight="1" thickBot="1" x14ac:dyDescent="0.3">
      <c r="A8" s="207" t="s">
        <v>0</v>
      </c>
      <c r="B8" s="820" t="s">
        <v>941</v>
      </c>
      <c r="C8" s="820"/>
      <c r="D8" s="820"/>
      <c r="E8" s="820"/>
    </row>
    <row r="9" spans="1:11" ht="91.5" customHeight="1" x14ac:dyDescent="0.25">
      <c r="A9" s="208" t="s">
        <v>2</v>
      </c>
      <c r="B9" s="890" t="s">
        <v>942</v>
      </c>
      <c r="C9" s="890"/>
      <c r="D9" s="890"/>
      <c r="E9" s="890"/>
      <c r="G9" s="747" t="s">
        <v>944</v>
      </c>
      <c r="H9" s="748"/>
      <c r="I9" s="748"/>
      <c r="J9" s="748" t="s">
        <v>274</v>
      </c>
      <c r="K9" s="748" t="s">
        <v>272</v>
      </c>
    </row>
    <row r="10" spans="1:11" ht="54" customHeight="1" x14ac:dyDescent="0.25">
      <c r="A10" s="208" t="s">
        <v>31</v>
      </c>
      <c r="B10" s="889" t="s">
        <v>943</v>
      </c>
      <c r="C10" s="889"/>
      <c r="D10" s="889"/>
      <c r="E10" s="889"/>
      <c r="G10" s="749">
        <v>13700</v>
      </c>
      <c r="H10" s="748"/>
      <c r="I10" s="748"/>
      <c r="J10" s="748">
        <v>0.24</v>
      </c>
      <c r="K10" s="748">
        <v>0.11700000000000001</v>
      </c>
    </row>
    <row r="11" spans="1:11" ht="30" customHeight="1" x14ac:dyDescent="0.25">
      <c r="A11" s="209" t="s">
        <v>16</v>
      </c>
      <c r="B11" s="874" t="s">
        <v>41</v>
      </c>
      <c r="C11" s="874"/>
      <c r="D11" s="874"/>
      <c r="E11" s="874"/>
    </row>
    <row r="12" spans="1:11" ht="30" customHeight="1" x14ac:dyDescent="0.25">
      <c r="A12" s="209" t="s">
        <v>3</v>
      </c>
      <c r="B12" s="874"/>
      <c r="C12" s="874"/>
      <c r="D12" s="874"/>
      <c r="E12" s="874"/>
    </row>
    <row r="13" spans="1:11" ht="30" customHeight="1" x14ac:dyDescent="0.25">
      <c r="A13" s="209" t="s">
        <v>17</v>
      </c>
      <c r="B13" s="874"/>
      <c r="C13" s="874"/>
      <c r="D13" s="874"/>
      <c r="E13" s="874"/>
    </row>
    <row r="14" spans="1:11" ht="30" customHeight="1" x14ac:dyDescent="0.25">
      <c r="A14" s="209" t="s">
        <v>4</v>
      </c>
      <c r="B14" s="874">
        <v>2015</v>
      </c>
      <c r="C14" s="874"/>
      <c r="D14" s="874"/>
      <c r="E14" s="874"/>
    </row>
    <row r="15" spans="1:11" ht="30" customHeight="1" x14ac:dyDescent="0.25">
      <c r="A15" s="209" t="s">
        <v>5</v>
      </c>
      <c r="B15" s="874">
        <v>2017</v>
      </c>
      <c r="C15" s="874"/>
      <c r="D15" s="874"/>
      <c r="E15" s="874"/>
    </row>
    <row r="16" spans="1:11" ht="30" customHeight="1" x14ac:dyDescent="0.25">
      <c r="A16" s="209" t="s">
        <v>6</v>
      </c>
      <c r="B16" s="845">
        <v>50000</v>
      </c>
      <c r="C16" s="845"/>
      <c r="D16" s="845"/>
      <c r="E16" s="845"/>
    </row>
    <row r="17" spans="1:8" ht="30" customHeight="1" x14ac:dyDescent="0.25">
      <c r="A17" s="209" t="s">
        <v>7</v>
      </c>
      <c r="B17" s="845">
        <v>0</v>
      </c>
      <c r="C17" s="845"/>
      <c r="D17" s="845"/>
      <c r="E17" s="845"/>
    </row>
    <row r="18" spans="1:8" ht="30" customHeight="1" x14ac:dyDescent="0.25">
      <c r="A18" s="210" t="s">
        <v>468</v>
      </c>
      <c r="B18" s="868">
        <f>H10</f>
        <v>0</v>
      </c>
      <c r="C18" s="869"/>
      <c r="D18" s="869"/>
      <c r="E18" s="869"/>
      <c r="H18" s="2"/>
    </row>
    <row r="19" spans="1:8" ht="30" customHeight="1" x14ac:dyDescent="0.25">
      <c r="A19" s="238" t="s">
        <v>467</v>
      </c>
      <c r="B19" s="870"/>
      <c r="C19" s="871"/>
      <c r="D19" s="871"/>
      <c r="E19" s="871"/>
      <c r="H19" s="2"/>
    </row>
    <row r="20" spans="1:8" ht="30" customHeight="1" x14ac:dyDescent="0.25">
      <c r="A20" s="209" t="s">
        <v>8</v>
      </c>
      <c r="B20" s="845">
        <f>G10*J10</f>
        <v>3288</v>
      </c>
      <c r="C20" s="845"/>
      <c r="D20" s="845"/>
      <c r="E20" s="845"/>
    </row>
    <row r="21" spans="1:8" ht="30" customHeight="1" x14ac:dyDescent="0.25">
      <c r="A21" s="209" t="s">
        <v>9</v>
      </c>
      <c r="B21" s="845"/>
      <c r="C21" s="845"/>
      <c r="D21" s="845"/>
      <c r="E21" s="845"/>
    </row>
    <row r="22" spans="1:8" ht="30" customHeight="1" x14ac:dyDescent="0.25">
      <c r="A22" s="209" t="s">
        <v>465</v>
      </c>
      <c r="B22" s="846">
        <f>B16/(B20+B21)</f>
        <v>15.206812652068127</v>
      </c>
      <c r="C22" s="846"/>
      <c r="D22" s="846"/>
      <c r="E22" s="846"/>
    </row>
    <row r="23" spans="1:8" ht="30" customHeight="1" x14ac:dyDescent="0.25">
      <c r="A23" s="209" t="s">
        <v>466</v>
      </c>
      <c r="B23" s="847">
        <f>(B16-B17)/(B20+B21)</f>
        <v>15.206812652068127</v>
      </c>
      <c r="C23" s="847"/>
      <c r="D23" s="847"/>
      <c r="E23" s="847"/>
    </row>
    <row r="24" spans="1:8" ht="30" customHeight="1" x14ac:dyDescent="0.25">
      <c r="A24" s="211" t="s">
        <v>476</v>
      </c>
      <c r="B24" s="901">
        <f>B18*K10/1000</f>
        <v>0</v>
      </c>
      <c r="C24" s="901"/>
      <c r="D24" s="901"/>
      <c r="E24" s="901"/>
    </row>
    <row r="25" spans="1:8" ht="30" customHeight="1" x14ac:dyDescent="0.25">
      <c r="A25" s="212" t="s">
        <v>463</v>
      </c>
      <c r="B25" s="881">
        <f>B24/'Objectifs CO2'!C15</f>
        <v>0</v>
      </c>
      <c r="C25" s="881"/>
      <c r="D25" s="881"/>
      <c r="E25" s="881"/>
    </row>
    <row r="26" spans="1:8" ht="30" customHeight="1" x14ac:dyDescent="0.25">
      <c r="A26" s="213" t="s">
        <v>464</v>
      </c>
      <c r="B26" s="881">
        <f>B24/'Objectifs CO2'!C8</f>
        <v>0</v>
      </c>
      <c r="C26" s="881"/>
      <c r="D26" s="881"/>
      <c r="E26" s="881"/>
    </row>
    <row r="27" spans="1:8" ht="30" customHeight="1" x14ac:dyDescent="0.25">
      <c r="A27" s="213" t="s">
        <v>24</v>
      </c>
      <c r="B27" s="853"/>
      <c r="C27" s="853"/>
      <c r="D27" s="853"/>
      <c r="E27" s="853"/>
    </row>
    <row r="28" spans="1:8" ht="30" customHeight="1" x14ac:dyDescent="0.25">
      <c r="A28" s="213" t="s">
        <v>418</v>
      </c>
      <c r="B28" s="853"/>
      <c r="C28" s="853"/>
      <c r="D28" s="853"/>
      <c r="E28" s="853"/>
    </row>
  </sheetData>
  <mergeCells count="28">
    <mergeCell ref="B25:E25"/>
    <mergeCell ref="B26:E26"/>
    <mergeCell ref="B27:E27"/>
    <mergeCell ref="B28:E28"/>
    <mergeCell ref="B19:E19"/>
    <mergeCell ref="B20:E20"/>
    <mergeCell ref="B21:E21"/>
    <mergeCell ref="B22:E22"/>
    <mergeCell ref="B23:E23"/>
    <mergeCell ref="B24:E24"/>
    <mergeCell ref="B18:E18"/>
    <mergeCell ref="B7:E7"/>
    <mergeCell ref="B8:E8"/>
    <mergeCell ref="B9:E9"/>
    <mergeCell ref="B10:E10"/>
    <mergeCell ref="B11:E11"/>
    <mergeCell ref="B12:E12"/>
    <mergeCell ref="B13:E13"/>
    <mergeCell ref="B14:E14"/>
    <mergeCell ref="B15:E15"/>
    <mergeCell ref="B16:E16"/>
    <mergeCell ref="B17:E17"/>
    <mergeCell ref="G6:I6"/>
    <mergeCell ref="A2:E2"/>
    <mergeCell ref="C4:D4"/>
    <mergeCell ref="G4:I4"/>
    <mergeCell ref="C5:D5"/>
    <mergeCell ref="G5:I5"/>
  </mergeCells>
  <conditionalFormatting sqref="E5">
    <cfRule type="containsText" dxfId="188" priority="1" operator="containsText" text="Terminé">
      <formula>NOT(ISERROR(SEARCH("Terminé",E5)))</formula>
    </cfRule>
    <cfRule type="containsText" dxfId="187" priority="2" operator="containsText" text="En cours">
      <formula>NOT(ISERROR(SEARCH("En cours",E5)))</formula>
    </cfRule>
    <cfRule type="containsText" dxfId="186" priority="3" operator="containsText" text="A faire">
      <formula>NOT(ISERROR(SEARCH("A faire",E5)))</formula>
    </cfRule>
  </conditionalFormatting>
  <hyperlinks>
    <hyperlink ref="G4:I4" location="'Objectifs CO2'!A1" display="Lien vers Objectifs CO2"/>
    <hyperlink ref="G5:I5" location="'Synthèse CO2'!A1" display="Lien synthèse CO2"/>
    <hyperlink ref="G6" location="CALENDRIER!A1" display="Lien vers CALENDRIER"/>
  </hyperlink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CO2'!$U$3:$U$9</xm:f>
          </x14:formula1>
          <xm:sqref>C4:D4</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CO2'!$P$8:$P$12</xm:f>
          </x14:formula1>
          <xm:sqref>E5</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8"/>
  <sheetViews>
    <sheetView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4" ht="21" x14ac:dyDescent="0.35">
      <c r="A1" s="11" t="s">
        <v>87</v>
      </c>
      <c r="B1" s="11"/>
      <c r="C1" s="11"/>
      <c r="D1" s="11"/>
      <c r="E1" s="11"/>
    </row>
    <row r="2" spans="1:14" ht="26.25" x14ac:dyDescent="0.4">
      <c r="A2" s="856" t="s">
        <v>913</v>
      </c>
      <c r="B2" s="856"/>
      <c r="C2" s="856"/>
      <c r="D2" s="856"/>
      <c r="E2" s="856"/>
    </row>
    <row r="3" spans="1:14" ht="27" thickBot="1" x14ac:dyDescent="0.45">
      <c r="A3" s="637"/>
      <c r="B3" s="637"/>
      <c r="C3" s="637"/>
      <c r="D3" s="637"/>
      <c r="E3" s="637"/>
    </row>
    <row r="4" spans="1:14" ht="15.75" thickBot="1" x14ac:dyDescent="0.3">
      <c r="A4" s="12"/>
      <c r="B4" s="233" t="s">
        <v>469</v>
      </c>
      <c r="C4" s="851" t="s">
        <v>40</v>
      </c>
      <c r="D4" s="852"/>
      <c r="E4" s="175" t="s">
        <v>947</v>
      </c>
      <c r="G4" s="848" t="s">
        <v>914</v>
      </c>
      <c r="H4" s="848"/>
      <c r="I4" s="848"/>
    </row>
    <row r="5" spans="1:14" ht="18.75" customHeight="1" x14ac:dyDescent="0.25">
      <c r="A5" s="381" t="s">
        <v>651</v>
      </c>
      <c r="B5" s="382" t="s">
        <v>652</v>
      </c>
      <c r="C5" s="820" t="s">
        <v>18</v>
      </c>
      <c r="D5" s="820"/>
      <c r="E5" s="232" t="s">
        <v>21</v>
      </c>
      <c r="G5" s="848" t="s">
        <v>915</v>
      </c>
      <c r="H5" s="848"/>
      <c r="I5" s="848"/>
    </row>
    <row r="6" spans="1:14" ht="16.5" thickBot="1" x14ac:dyDescent="0.3">
      <c r="A6" s="379" t="s">
        <v>660</v>
      </c>
      <c r="B6" s="380" t="s">
        <v>398</v>
      </c>
      <c r="C6" s="16"/>
      <c r="D6" s="16"/>
      <c r="E6" s="16"/>
      <c r="G6" s="850" t="s">
        <v>916</v>
      </c>
      <c r="H6" s="850"/>
      <c r="I6" s="850"/>
    </row>
    <row r="7" spans="1:14" ht="24" customHeight="1" thickBot="1" x14ac:dyDescent="0.3">
      <c r="A7" s="207" t="s">
        <v>1</v>
      </c>
      <c r="B7" s="820" t="s">
        <v>948</v>
      </c>
      <c r="C7" s="820"/>
      <c r="D7" s="820"/>
      <c r="E7" s="820"/>
    </row>
    <row r="8" spans="1:14" ht="24" customHeight="1" thickBot="1" x14ac:dyDescent="0.3">
      <c r="A8" s="207" t="s">
        <v>0</v>
      </c>
      <c r="B8" s="820" t="s">
        <v>949</v>
      </c>
      <c r="C8" s="820"/>
      <c r="D8" s="820"/>
      <c r="E8" s="820"/>
    </row>
    <row r="9" spans="1:14" ht="91.5" customHeight="1" x14ac:dyDescent="0.25">
      <c r="A9" s="208" t="s">
        <v>2</v>
      </c>
      <c r="B9" s="890" t="s">
        <v>956</v>
      </c>
      <c r="C9" s="890"/>
      <c r="D9" s="890"/>
      <c r="E9" s="890"/>
      <c r="G9" s="747" t="s">
        <v>950</v>
      </c>
      <c r="H9" s="747" t="s">
        <v>955</v>
      </c>
      <c r="I9" s="748" t="s">
        <v>953</v>
      </c>
      <c r="J9" s="748" t="s">
        <v>954</v>
      </c>
      <c r="K9" s="748" t="s">
        <v>951</v>
      </c>
      <c r="L9" s="748" t="s">
        <v>160</v>
      </c>
      <c r="M9" s="748" t="s">
        <v>274</v>
      </c>
      <c r="N9" s="748" t="s">
        <v>952</v>
      </c>
    </row>
    <row r="10" spans="1:14" ht="54" customHeight="1" x14ac:dyDescent="0.25">
      <c r="A10" s="208" t="s">
        <v>31</v>
      </c>
      <c r="B10" s="917" t="s">
        <v>957</v>
      </c>
      <c r="C10" s="918"/>
      <c r="D10" s="918"/>
      <c r="E10" s="919"/>
      <c r="G10" s="749">
        <v>79800</v>
      </c>
      <c r="H10" s="749">
        <v>333000</v>
      </c>
      <c r="I10" s="748">
        <v>0.2</v>
      </c>
      <c r="J10" s="748">
        <v>0.2</v>
      </c>
      <c r="K10" s="748">
        <v>0.7</v>
      </c>
      <c r="L10" s="748">
        <v>0.26100000000000001</v>
      </c>
      <c r="M10" s="748">
        <v>0.24</v>
      </c>
      <c r="N10" s="748">
        <v>0.11700000000000001</v>
      </c>
    </row>
    <row r="11" spans="1:14" ht="30" customHeight="1" x14ac:dyDescent="0.25">
      <c r="A11" s="209" t="s">
        <v>16</v>
      </c>
      <c r="B11" s="874" t="s">
        <v>86</v>
      </c>
      <c r="C11" s="874"/>
      <c r="D11" s="874"/>
      <c r="E11" s="874"/>
    </row>
    <row r="12" spans="1:14" ht="30" customHeight="1" x14ac:dyDescent="0.25">
      <c r="A12" s="209" t="s">
        <v>3</v>
      </c>
      <c r="B12" s="874"/>
      <c r="C12" s="874"/>
      <c r="D12" s="874"/>
      <c r="E12" s="874"/>
    </row>
    <row r="13" spans="1:14" ht="30" customHeight="1" x14ac:dyDescent="0.25">
      <c r="A13" s="209" t="s">
        <v>17</v>
      </c>
      <c r="B13" s="874"/>
      <c r="C13" s="874"/>
      <c r="D13" s="874"/>
      <c r="E13" s="874"/>
    </row>
    <row r="14" spans="1:14" ht="30" customHeight="1" x14ac:dyDescent="0.25">
      <c r="A14" s="209" t="s">
        <v>4</v>
      </c>
      <c r="B14" s="874">
        <v>2015</v>
      </c>
      <c r="C14" s="874"/>
      <c r="D14" s="874"/>
      <c r="E14" s="874"/>
    </row>
    <row r="15" spans="1:14" ht="30" customHeight="1" x14ac:dyDescent="0.25">
      <c r="A15" s="209" t="s">
        <v>5</v>
      </c>
      <c r="B15" s="874">
        <v>2017</v>
      </c>
      <c r="C15" s="874"/>
      <c r="D15" s="874"/>
      <c r="E15" s="874"/>
    </row>
    <row r="16" spans="1:14" ht="30" customHeight="1" x14ac:dyDescent="0.25">
      <c r="A16" s="209" t="s">
        <v>6</v>
      </c>
      <c r="B16" s="845">
        <v>100000</v>
      </c>
      <c r="C16" s="845"/>
      <c r="D16" s="845"/>
      <c r="E16" s="845"/>
    </row>
    <row r="17" spans="1:8" ht="30" customHeight="1" x14ac:dyDescent="0.25">
      <c r="A17" s="209" t="s">
        <v>7</v>
      </c>
      <c r="B17" s="845">
        <v>0</v>
      </c>
      <c r="C17" s="845"/>
      <c r="D17" s="845"/>
      <c r="E17" s="845"/>
    </row>
    <row r="18" spans="1:8" ht="30" customHeight="1" x14ac:dyDescent="0.25">
      <c r="A18" s="210" t="s">
        <v>468</v>
      </c>
      <c r="B18" s="868">
        <f>H10*I10</f>
        <v>66600</v>
      </c>
      <c r="C18" s="869"/>
      <c r="D18" s="869"/>
      <c r="E18" s="869"/>
      <c r="H18" s="2"/>
    </row>
    <row r="19" spans="1:8" ht="30" customHeight="1" x14ac:dyDescent="0.25">
      <c r="A19" s="238" t="s">
        <v>467</v>
      </c>
      <c r="B19" s="870"/>
      <c r="C19" s="871"/>
      <c r="D19" s="871"/>
      <c r="E19" s="871"/>
      <c r="H19" s="2"/>
    </row>
    <row r="20" spans="1:8" ht="30" customHeight="1" x14ac:dyDescent="0.25">
      <c r="A20" s="209" t="s">
        <v>8</v>
      </c>
      <c r="B20" s="845">
        <f>B18*M10</f>
        <v>15984</v>
      </c>
      <c r="C20" s="845"/>
      <c r="D20" s="845"/>
      <c r="E20" s="845"/>
    </row>
    <row r="21" spans="1:8" ht="30" customHeight="1" x14ac:dyDescent="0.25">
      <c r="A21" s="209" t="s">
        <v>9</v>
      </c>
      <c r="B21" s="845"/>
      <c r="C21" s="845"/>
      <c r="D21" s="845"/>
      <c r="E21" s="845"/>
    </row>
    <row r="22" spans="1:8" ht="30" customHeight="1" x14ac:dyDescent="0.25">
      <c r="A22" s="209" t="s">
        <v>465</v>
      </c>
      <c r="B22" s="846">
        <f>B16/(B20+B21)</f>
        <v>6.2562562562562567</v>
      </c>
      <c r="C22" s="846"/>
      <c r="D22" s="846"/>
      <c r="E22" s="846"/>
    </row>
    <row r="23" spans="1:8" ht="30" customHeight="1" x14ac:dyDescent="0.25">
      <c r="A23" s="209" t="s">
        <v>466</v>
      </c>
      <c r="B23" s="847">
        <f>(B16-B17)/(B20+B21)</f>
        <v>6.2562562562562567</v>
      </c>
      <c r="C23" s="847"/>
      <c r="D23" s="847"/>
      <c r="E23" s="847"/>
    </row>
    <row r="24" spans="1:8" ht="30" customHeight="1" x14ac:dyDescent="0.25">
      <c r="A24" s="211" t="s">
        <v>476</v>
      </c>
      <c r="B24" s="901">
        <f>B18*N10/1000</f>
        <v>7.7922000000000011</v>
      </c>
      <c r="C24" s="901"/>
      <c r="D24" s="901"/>
      <c r="E24" s="901"/>
    </row>
    <row r="25" spans="1:8" ht="30" customHeight="1" x14ac:dyDescent="0.25">
      <c r="A25" s="212" t="s">
        <v>463</v>
      </c>
      <c r="B25" s="881">
        <f>B24/'Objectifs CO2'!C15</f>
        <v>5.6457244114747991E-3</v>
      </c>
      <c r="C25" s="881"/>
      <c r="D25" s="881"/>
      <c r="E25" s="881"/>
    </row>
    <row r="26" spans="1:8" ht="30" customHeight="1" x14ac:dyDescent="0.25">
      <c r="A26" s="213" t="s">
        <v>464</v>
      </c>
      <c r="B26" s="881">
        <f>B24/'Objectifs CO2'!C8</f>
        <v>1.1291448822949599E-3</v>
      </c>
      <c r="C26" s="881"/>
      <c r="D26" s="881"/>
      <c r="E26" s="881"/>
    </row>
    <row r="27" spans="1:8" ht="30" customHeight="1" x14ac:dyDescent="0.25">
      <c r="A27" s="213" t="s">
        <v>24</v>
      </c>
      <c r="B27" s="853"/>
      <c r="C27" s="853"/>
      <c r="D27" s="853"/>
      <c r="E27" s="853"/>
    </row>
    <row r="28" spans="1:8" ht="30" customHeight="1" x14ac:dyDescent="0.25">
      <c r="A28" s="213" t="s">
        <v>418</v>
      </c>
      <c r="B28" s="853"/>
      <c r="C28" s="853"/>
      <c r="D28" s="853"/>
      <c r="E28" s="853"/>
    </row>
  </sheetData>
  <mergeCells count="28">
    <mergeCell ref="B25:E25"/>
    <mergeCell ref="B26:E26"/>
    <mergeCell ref="B27:E27"/>
    <mergeCell ref="B28:E28"/>
    <mergeCell ref="B19:E19"/>
    <mergeCell ref="B20:E20"/>
    <mergeCell ref="B21:E21"/>
    <mergeCell ref="B22:E22"/>
    <mergeCell ref="B23:E23"/>
    <mergeCell ref="B24:E24"/>
    <mergeCell ref="B18:E18"/>
    <mergeCell ref="B7:E7"/>
    <mergeCell ref="B8:E8"/>
    <mergeCell ref="B9:E9"/>
    <mergeCell ref="B10:E10"/>
    <mergeCell ref="B11:E11"/>
    <mergeCell ref="B12:E12"/>
    <mergeCell ref="B13:E13"/>
    <mergeCell ref="B14:E14"/>
    <mergeCell ref="B15:E15"/>
    <mergeCell ref="B16:E16"/>
    <mergeCell ref="B17:E17"/>
    <mergeCell ref="G6:I6"/>
    <mergeCell ref="A2:E2"/>
    <mergeCell ref="C4:D4"/>
    <mergeCell ref="G4:I4"/>
    <mergeCell ref="C5:D5"/>
    <mergeCell ref="G5:I5"/>
  </mergeCells>
  <conditionalFormatting sqref="E5">
    <cfRule type="containsText" dxfId="185" priority="1" operator="containsText" text="Terminé">
      <formula>NOT(ISERROR(SEARCH("Terminé",E5)))</formula>
    </cfRule>
    <cfRule type="containsText" dxfId="184" priority="2" operator="containsText" text="En cours">
      <formula>NOT(ISERROR(SEARCH("En cours",E5)))</formula>
    </cfRule>
    <cfRule type="containsText" dxfId="183" priority="3" operator="containsText" text="A faire">
      <formula>NOT(ISERROR(SEARCH("A faire",E5)))</formula>
    </cfRule>
  </conditionalFormatting>
  <hyperlinks>
    <hyperlink ref="G4:I4" location="'Objectifs CO2'!A1" display="Lien vers Objectifs CO2"/>
    <hyperlink ref="G5:I5" location="'Synthèse CO2'!A1" display="Lien synthèse CO2"/>
    <hyperlink ref="G6" location="CALENDRIER!A1" display="Lien vers CALENDRIER"/>
  </hyperlink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8"/>
  <sheetViews>
    <sheetView topLeftCell="A16" workbookViewId="0">
      <selection activeCell="B12" sqref="B12:E12"/>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4" ht="21" x14ac:dyDescent="0.35">
      <c r="A1" s="11" t="s">
        <v>87</v>
      </c>
      <c r="B1" s="11"/>
      <c r="C1" s="11"/>
      <c r="D1" s="11"/>
      <c r="E1" s="11"/>
    </row>
    <row r="2" spans="1:14" ht="26.25" x14ac:dyDescent="0.4">
      <c r="A2" s="856" t="s">
        <v>913</v>
      </c>
      <c r="B2" s="856"/>
      <c r="C2" s="856"/>
      <c r="D2" s="856"/>
      <c r="E2" s="856"/>
    </row>
    <row r="3" spans="1:14" ht="27" thickBot="1" x14ac:dyDescent="0.45">
      <c r="A3" s="637"/>
      <c r="B3" s="637"/>
      <c r="C3" s="637"/>
      <c r="D3" s="637"/>
      <c r="E3" s="637"/>
    </row>
    <row r="4" spans="1:14" ht="15.75" thickBot="1" x14ac:dyDescent="0.3">
      <c r="A4" s="12"/>
      <c r="B4" s="233" t="s">
        <v>469</v>
      </c>
      <c r="C4" s="851" t="s">
        <v>41</v>
      </c>
      <c r="D4" s="852"/>
      <c r="E4" s="175" t="s">
        <v>947</v>
      </c>
      <c r="G4" s="848" t="s">
        <v>914</v>
      </c>
      <c r="H4" s="848"/>
      <c r="I4" s="848"/>
    </row>
    <row r="5" spans="1:14" ht="18.75" customHeight="1" x14ac:dyDescent="0.25">
      <c r="A5" s="381" t="s">
        <v>651</v>
      </c>
      <c r="B5" s="382" t="s">
        <v>652</v>
      </c>
      <c r="C5" s="820" t="s">
        <v>18</v>
      </c>
      <c r="D5" s="820"/>
      <c r="E5" s="232" t="s">
        <v>21</v>
      </c>
      <c r="G5" s="848" t="s">
        <v>915</v>
      </c>
      <c r="H5" s="848"/>
      <c r="I5" s="848"/>
    </row>
    <row r="6" spans="1:14" ht="16.5" thickBot="1" x14ac:dyDescent="0.3">
      <c r="A6" s="379" t="s">
        <v>660</v>
      </c>
      <c r="B6" s="380" t="s">
        <v>398</v>
      </c>
      <c r="C6" s="16"/>
      <c r="D6" s="16"/>
      <c r="E6" s="16"/>
      <c r="G6" s="850" t="s">
        <v>916</v>
      </c>
      <c r="H6" s="850"/>
      <c r="I6" s="850"/>
    </row>
    <row r="7" spans="1:14" ht="24" customHeight="1" thickBot="1" x14ac:dyDescent="0.3">
      <c r="A7" s="207" t="s">
        <v>1</v>
      </c>
      <c r="B7" s="820" t="s">
        <v>960</v>
      </c>
      <c r="C7" s="820"/>
      <c r="D7" s="820"/>
      <c r="E7" s="820"/>
    </row>
    <row r="8" spans="1:14" ht="24" customHeight="1" thickBot="1" x14ac:dyDescent="0.3">
      <c r="A8" s="207" t="s">
        <v>0</v>
      </c>
      <c r="B8" s="820" t="s">
        <v>961</v>
      </c>
      <c r="C8" s="820"/>
      <c r="D8" s="820"/>
      <c r="E8" s="820"/>
    </row>
    <row r="9" spans="1:14" ht="48.75" customHeight="1" x14ac:dyDescent="0.25">
      <c r="A9" s="208" t="s">
        <v>2</v>
      </c>
      <c r="B9" s="890" t="s">
        <v>962</v>
      </c>
      <c r="C9" s="890"/>
      <c r="D9" s="890"/>
      <c r="E9" s="890"/>
      <c r="G9" s="747" t="s">
        <v>950</v>
      </c>
      <c r="H9" s="747" t="s">
        <v>955</v>
      </c>
      <c r="I9" s="748" t="s">
        <v>953</v>
      </c>
      <c r="J9" s="748" t="s">
        <v>954</v>
      </c>
      <c r="K9" s="748" t="s">
        <v>161</v>
      </c>
      <c r="L9" s="748" t="s">
        <v>160</v>
      </c>
      <c r="M9" s="748" t="s">
        <v>274</v>
      </c>
      <c r="N9" s="748" t="s">
        <v>272</v>
      </c>
    </row>
    <row r="10" spans="1:14" ht="54" customHeight="1" x14ac:dyDescent="0.25">
      <c r="A10" s="208" t="s">
        <v>31</v>
      </c>
      <c r="B10" s="917" t="s">
        <v>963</v>
      </c>
      <c r="C10" s="918"/>
      <c r="D10" s="918"/>
      <c r="E10" s="919"/>
      <c r="G10" s="749">
        <v>20000</v>
      </c>
      <c r="H10" s="749">
        <v>20000</v>
      </c>
      <c r="I10" s="748">
        <v>0.5</v>
      </c>
      <c r="J10" s="748">
        <v>0</v>
      </c>
      <c r="K10" s="748">
        <v>0.7</v>
      </c>
      <c r="L10" s="748">
        <v>0.26100000000000001</v>
      </c>
      <c r="M10" s="748">
        <v>0.24</v>
      </c>
      <c r="N10" s="748">
        <v>0.11700000000000001</v>
      </c>
    </row>
    <row r="11" spans="1:14" ht="30" customHeight="1" x14ac:dyDescent="0.25">
      <c r="A11" s="209" t="s">
        <v>16</v>
      </c>
      <c r="B11" s="874" t="s">
        <v>41</v>
      </c>
      <c r="C11" s="874"/>
      <c r="D11" s="874"/>
      <c r="E11" s="874"/>
    </row>
    <row r="12" spans="1:14" ht="30" customHeight="1" x14ac:dyDescent="0.25">
      <c r="A12" s="209" t="s">
        <v>3</v>
      </c>
      <c r="B12" s="874"/>
      <c r="C12" s="874"/>
      <c r="D12" s="874"/>
      <c r="E12" s="874"/>
    </row>
    <row r="13" spans="1:14" ht="30" customHeight="1" x14ac:dyDescent="0.25">
      <c r="A13" s="209" t="s">
        <v>17</v>
      </c>
      <c r="B13" s="874" t="s">
        <v>960</v>
      </c>
      <c r="C13" s="874"/>
      <c r="D13" s="874"/>
      <c r="E13" s="874"/>
    </row>
    <row r="14" spans="1:14" ht="30" customHeight="1" x14ac:dyDescent="0.25">
      <c r="A14" s="209" t="s">
        <v>4</v>
      </c>
      <c r="B14" s="874">
        <v>2015</v>
      </c>
      <c r="C14" s="874"/>
      <c r="D14" s="874"/>
      <c r="E14" s="874"/>
    </row>
    <row r="15" spans="1:14" ht="30" customHeight="1" x14ac:dyDescent="0.25">
      <c r="A15" s="209" t="s">
        <v>5</v>
      </c>
      <c r="B15" s="874">
        <v>2017</v>
      </c>
      <c r="C15" s="874"/>
      <c r="D15" s="874"/>
      <c r="E15" s="874"/>
    </row>
    <row r="16" spans="1:14" ht="30" customHeight="1" x14ac:dyDescent="0.25">
      <c r="A16" s="209" t="s">
        <v>6</v>
      </c>
      <c r="B16" s="845">
        <v>200000</v>
      </c>
      <c r="C16" s="845"/>
      <c r="D16" s="845"/>
      <c r="E16" s="845"/>
    </row>
    <row r="17" spans="1:8" ht="30" customHeight="1" x14ac:dyDescent="0.25">
      <c r="A17" s="209" t="s">
        <v>7</v>
      </c>
      <c r="B17" s="845">
        <f>B16*0.7</f>
        <v>140000</v>
      </c>
      <c r="C17" s="845"/>
      <c r="D17" s="845"/>
      <c r="E17" s="845"/>
    </row>
    <row r="18" spans="1:8" ht="30" customHeight="1" x14ac:dyDescent="0.25">
      <c r="A18" s="210" t="s">
        <v>468</v>
      </c>
      <c r="B18" s="868">
        <f>G10*10*I10</f>
        <v>100000</v>
      </c>
      <c r="C18" s="869"/>
      <c r="D18" s="869"/>
      <c r="E18" s="869"/>
      <c r="H18" s="2"/>
    </row>
    <row r="19" spans="1:8" ht="30" customHeight="1" x14ac:dyDescent="0.25">
      <c r="A19" s="238" t="s">
        <v>467</v>
      </c>
      <c r="B19" s="870"/>
      <c r="C19" s="871"/>
      <c r="D19" s="871"/>
      <c r="E19" s="871"/>
      <c r="H19" s="2"/>
    </row>
    <row r="20" spans="1:8" ht="30" customHeight="1" x14ac:dyDescent="0.25">
      <c r="A20" s="209" t="s">
        <v>8</v>
      </c>
      <c r="B20" s="845">
        <f>B18/10*K10</f>
        <v>7000</v>
      </c>
      <c r="C20" s="845"/>
      <c r="D20" s="845"/>
      <c r="E20" s="845"/>
    </row>
    <row r="21" spans="1:8" ht="30" customHeight="1" x14ac:dyDescent="0.25">
      <c r="A21" s="209" t="s">
        <v>9</v>
      </c>
      <c r="B21" s="845"/>
      <c r="C21" s="845"/>
      <c r="D21" s="845"/>
      <c r="E21" s="845"/>
    </row>
    <row r="22" spans="1:8" ht="30" customHeight="1" x14ac:dyDescent="0.25">
      <c r="A22" s="209" t="s">
        <v>465</v>
      </c>
      <c r="B22" s="846">
        <f>B16/(B20+B21)</f>
        <v>28.571428571428573</v>
      </c>
      <c r="C22" s="846"/>
      <c r="D22" s="846"/>
      <c r="E22" s="846"/>
    </row>
    <row r="23" spans="1:8" ht="30" customHeight="1" x14ac:dyDescent="0.25">
      <c r="A23" s="209" t="s">
        <v>466</v>
      </c>
      <c r="B23" s="847">
        <f>(B16-B17)/(B20+B21)</f>
        <v>8.5714285714285712</v>
      </c>
      <c r="C23" s="847"/>
      <c r="D23" s="847"/>
      <c r="E23" s="847"/>
    </row>
    <row r="24" spans="1:8" ht="30" customHeight="1" x14ac:dyDescent="0.25">
      <c r="A24" s="211" t="s">
        <v>476</v>
      </c>
      <c r="B24" s="901">
        <f>B18/1000*L10</f>
        <v>26.1</v>
      </c>
      <c r="C24" s="901"/>
      <c r="D24" s="901"/>
      <c r="E24" s="901"/>
    </row>
    <row r="25" spans="1:8" ht="30" customHeight="1" x14ac:dyDescent="0.25">
      <c r="A25" s="212" t="s">
        <v>463</v>
      </c>
      <c r="B25" s="881">
        <f>B24/'Objectifs CO2'!C15</f>
        <v>1.8910372826607662E-2</v>
      </c>
      <c r="C25" s="881"/>
      <c r="D25" s="881"/>
      <c r="E25" s="881"/>
    </row>
    <row r="26" spans="1:8" ht="30" customHeight="1" x14ac:dyDescent="0.25">
      <c r="A26" s="213" t="s">
        <v>464</v>
      </c>
      <c r="B26" s="881">
        <f>B24/'Objectifs CO2'!C8</f>
        <v>3.7820745653215329E-3</v>
      </c>
      <c r="C26" s="881"/>
      <c r="D26" s="881"/>
      <c r="E26" s="881"/>
    </row>
    <row r="27" spans="1:8" ht="30" customHeight="1" x14ac:dyDescent="0.25">
      <c r="A27" s="213" t="s">
        <v>24</v>
      </c>
      <c r="B27" s="853"/>
      <c r="C27" s="853"/>
      <c r="D27" s="853"/>
      <c r="E27" s="853"/>
    </row>
    <row r="28" spans="1:8" ht="30" customHeight="1" x14ac:dyDescent="0.25">
      <c r="A28" s="213" t="s">
        <v>418</v>
      </c>
      <c r="B28" s="853"/>
      <c r="C28" s="853"/>
      <c r="D28" s="853"/>
      <c r="E28" s="853"/>
    </row>
  </sheetData>
  <mergeCells count="28">
    <mergeCell ref="B25:E25"/>
    <mergeCell ref="B26:E26"/>
    <mergeCell ref="B27:E27"/>
    <mergeCell ref="B28:E28"/>
    <mergeCell ref="B19:E19"/>
    <mergeCell ref="B20:E20"/>
    <mergeCell ref="B21:E21"/>
    <mergeCell ref="B22:E22"/>
    <mergeCell ref="B23:E23"/>
    <mergeCell ref="B24:E24"/>
    <mergeCell ref="B18:E18"/>
    <mergeCell ref="B7:E7"/>
    <mergeCell ref="B8:E8"/>
    <mergeCell ref="B9:E9"/>
    <mergeCell ref="B10:E10"/>
    <mergeCell ref="B11:E11"/>
    <mergeCell ref="B12:E12"/>
    <mergeCell ref="B13:E13"/>
    <mergeCell ref="B14:E14"/>
    <mergeCell ref="B15:E15"/>
    <mergeCell ref="B16:E16"/>
    <mergeCell ref="B17:E17"/>
    <mergeCell ref="G6:I6"/>
    <mergeCell ref="A2:E2"/>
    <mergeCell ref="C4:D4"/>
    <mergeCell ref="G4:I4"/>
    <mergeCell ref="C5:D5"/>
    <mergeCell ref="G5:I5"/>
  </mergeCells>
  <conditionalFormatting sqref="E5">
    <cfRule type="containsText" dxfId="182" priority="1" operator="containsText" text="Terminé">
      <formula>NOT(ISERROR(SEARCH("Terminé",E5)))</formula>
    </cfRule>
    <cfRule type="containsText" dxfId="181" priority="2" operator="containsText" text="En cours">
      <formula>NOT(ISERROR(SEARCH("En cours",E5)))</formula>
    </cfRule>
    <cfRule type="containsText" dxfId="180" priority="3" operator="containsText" text="A faire">
      <formula>NOT(ISERROR(SEARCH("A faire",E5)))</formula>
    </cfRule>
  </conditionalFormatting>
  <hyperlinks>
    <hyperlink ref="G4:I4" location="'Objectifs CO2'!A1" display="Lien vers Objectifs CO2"/>
    <hyperlink ref="G5:I5" location="'Synthèse CO2'!A1" display="Lien synthèse CO2"/>
    <hyperlink ref="G6" location="CALENDRIER!A1" display="Lien vers CALENDRIER"/>
  </hyperlink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CO2'!$U$3:$U$9</xm:f>
          </x14:formula1>
          <xm:sqref>C4:D4</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CO2'!$P$8:$P$12</xm:f>
          </x14:formula1>
          <xm:sqref>E5</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28"/>
  <sheetViews>
    <sheetView zoomScaleNormal="100" zoomScaleSheetLayoutView="160"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1" ht="21" x14ac:dyDescent="0.35">
      <c r="A1" s="11" t="s">
        <v>87</v>
      </c>
      <c r="B1" s="11"/>
      <c r="C1" s="11"/>
      <c r="D1" s="11"/>
      <c r="E1" s="11"/>
    </row>
    <row r="2" spans="1:11" ht="26.25" x14ac:dyDescent="0.4">
      <c r="A2" s="856" t="s">
        <v>913</v>
      </c>
      <c r="B2" s="856"/>
      <c r="C2" s="856"/>
      <c r="D2" s="856"/>
      <c r="E2" s="856"/>
    </row>
    <row r="3" spans="1:11" ht="27" thickBot="1" x14ac:dyDescent="0.45">
      <c r="A3" s="112"/>
      <c r="B3" s="112"/>
      <c r="C3" s="112"/>
      <c r="D3" s="112"/>
      <c r="E3" s="112"/>
    </row>
    <row r="4" spans="1:11" ht="15.75" thickBot="1" x14ac:dyDescent="0.3">
      <c r="A4" s="12"/>
      <c r="B4" s="233" t="s">
        <v>469</v>
      </c>
      <c r="C4" s="851" t="s">
        <v>40</v>
      </c>
      <c r="D4" s="852"/>
      <c r="E4" s="175" t="s">
        <v>157</v>
      </c>
      <c r="G4" s="848" t="s">
        <v>914</v>
      </c>
      <c r="H4" s="848"/>
      <c r="I4" s="848"/>
    </row>
    <row r="5" spans="1:11" ht="18.75" customHeight="1" x14ac:dyDescent="0.25">
      <c r="A5" s="381" t="s">
        <v>651</v>
      </c>
      <c r="B5" s="382" t="s">
        <v>652</v>
      </c>
      <c r="C5" s="820" t="s">
        <v>18</v>
      </c>
      <c r="D5" s="820"/>
      <c r="E5" s="232" t="s">
        <v>21</v>
      </c>
      <c r="G5" s="848" t="s">
        <v>915</v>
      </c>
      <c r="H5" s="848"/>
      <c r="I5" s="848"/>
    </row>
    <row r="6" spans="1:11" ht="16.5" thickBot="1" x14ac:dyDescent="0.3">
      <c r="A6" s="379" t="s">
        <v>660</v>
      </c>
      <c r="B6" s="380" t="s">
        <v>398</v>
      </c>
      <c r="C6" s="16"/>
      <c r="D6" s="16"/>
      <c r="E6" s="16"/>
      <c r="G6" s="850" t="s">
        <v>916</v>
      </c>
      <c r="H6" s="850"/>
      <c r="I6" s="850"/>
    </row>
    <row r="7" spans="1:11" ht="24" customHeight="1" thickBot="1" x14ac:dyDescent="0.3">
      <c r="A7" s="207" t="s">
        <v>1</v>
      </c>
      <c r="B7" s="820" t="s">
        <v>167</v>
      </c>
      <c r="C7" s="820"/>
      <c r="D7" s="820"/>
      <c r="E7" s="820"/>
    </row>
    <row r="8" spans="1:11" ht="31.5" customHeight="1" thickBot="1" x14ac:dyDescent="0.3">
      <c r="A8" s="207" t="s">
        <v>0</v>
      </c>
      <c r="B8" s="920" t="s">
        <v>168</v>
      </c>
      <c r="C8" s="921"/>
      <c r="D8" s="921"/>
      <c r="E8" s="922"/>
    </row>
    <row r="9" spans="1:11" ht="118.5" customHeight="1" x14ac:dyDescent="0.25">
      <c r="A9" s="208" t="s">
        <v>2</v>
      </c>
      <c r="B9" s="890" t="s">
        <v>194</v>
      </c>
      <c r="C9" s="890"/>
      <c r="D9" s="890"/>
      <c r="E9" s="890"/>
      <c r="G9" s="114" t="s">
        <v>154</v>
      </c>
      <c r="H9" s="115" t="s">
        <v>155</v>
      </c>
      <c r="I9" s="115"/>
      <c r="J9" s="115" t="s">
        <v>161</v>
      </c>
      <c r="K9" s="115" t="s">
        <v>160</v>
      </c>
    </row>
    <row r="10" spans="1:11" ht="54" customHeight="1" x14ac:dyDescent="0.25">
      <c r="A10" s="208" t="s">
        <v>31</v>
      </c>
      <c r="B10" s="889" t="s">
        <v>169</v>
      </c>
      <c r="C10" s="889"/>
      <c r="D10" s="889"/>
      <c r="E10" s="889"/>
      <c r="G10" s="114">
        <v>3550</v>
      </c>
      <c r="H10" s="115">
        <f>G10*10</f>
        <v>35500</v>
      </c>
      <c r="I10" s="115"/>
      <c r="J10" s="115">
        <v>0.86</v>
      </c>
      <c r="K10" s="115">
        <v>0.26100000000000001</v>
      </c>
    </row>
    <row r="11" spans="1:11" ht="30" customHeight="1" x14ac:dyDescent="0.25">
      <c r="A11" s="209" t="s">
        <v>16</v>
      </c>
      <c r="B11" s="874" t="s">
        <v>86</v>
      </c>
      <c r="C11" s="874"/>
      <c r="D11" s="874"/>
      <c r="E11" s="874"/>
    </row>
    <row r="12" spans="1:11" ht="30" customHeight="1" x14ac:dyDescent="0.25">
      <c r="A12" s="209" t="s">
        <v>3</v>
      </c>
      <c r="B12" s="874"/>
      <c r="C12" s="874"/>
      <c r="D12" s="874"/>
      <c r="E12" s="874"/>
    </row>
    <row r="13" spans="1:11" ht="30" customHeight="1" x14ac:dyDescent="0.25">
      <c r="A13" s="209" t="s">
        <v>17</v>
      </c>
      <c r="B13" s="874"/>
      <c r="C13" s="874"/>
      <c r="D13" s="874"/>
      <c r="E13" s="874"/>
    </row>
    <row r="14" spans="1:11" ht="30" customHeight="1" x14ac:dyDescent="0.25">
      <c r="A14" s="209" t="s">
        <v>4</v>
      </c>
      <c r="B14" s="874">
        <v>2006</v>
      </c>
      <c r="C14" s="874"/>
      <c r="D14" s="874"/>
      <c r="E14" s="874"/>
    </row>
    <row r="15" spans="1:11" ht="30" customHeight="1" x14ac:dyDescent="0.25">
      <c r="A15" s="209" t="s">
        <v>5</v>
      </c>
      <c r="B15" s="874">
        <v>2016</v>
      </c>
      <c r="C15" s="874"/>
      <c r="D15" s="874"/>
      <c r="E15" s="874"/>
    </row>
    <row r="16" spans="1:11" ht="30" customHeight="1" x14ac:dyDescent="0.25">
      <c r="A16" s="209" t="s">
        <v>6</v>
      </c>
      <c r="B16" s="845">
        <v>57440</v>
      </c>
      <c r="C16" s="845"/>
      <c r="D16" s="845"/>
      <c r="E16" s="845"/>
    </row>
    <row r="17" spans="1:8" ht="30" customHeight="1" x14ac:dyDescent="0.25">
      <c r="A17" s="209" t="s">
        <v>7</v>
      </c>
      <c r="B17" s="845">
        <v>46642</v>
      </c>
      <c r="C17" s="845"/>
      <c r="D17" s="845"/>
      <c r="E17" s="845"/>
    </row>
    <row r="18" spans="1:8" ht="30" customHeight="1" x14ac:dyDescent="0.25">
      <c r="A18" s="210" t="s">
        <v>468</v>
      </c>
      <c r="B18" s="868">
        <f>H10</f>
        <v>35500</v>
      </c>
      <c r="C18" s="869"/>
      <c r="D18" s="869"/>
      <c r="E18" s="869"/>
      <c r="H18" s="2"/>
    </row>
    <row r="19" spans="1:8" ht="30" customHeight="1" x14ac:dyDescent="0.25">
      <c r="A19" s="238" t="s">
        <v>467</v>
      </c>
      <c r="B19" s="870"/>
      <c r="C19" s="871"/>
      <c r="D19" s="871"/>
      <c r="E19" s="871"/>
      <c r="H19" s="2"/>
    </row>
    <row r="20" spans="1:8" ht="30" customHeight="1" x14ac:dyDescent="0.25">
      <c r="A20" s="209" t="s">
        <v>8</v>
      </c>
      <c r="B20" s="845">
        <f>G10*J10</f>
        <v>3053</v>
      </c>
      <c r="C20" s="845"/>
      <c r="D20" s="845"/>
      <c r="E20" s="845"/>
    </row>
    <row r="21" spans="1:8" ht="30" customHeight="1" x14ac:dyDescent="0.25">
      <c r="A21" s="209" t="s">
        <v>9</v>
      </c>
      <c r="B21" s="845"/>
      <c r="C21" s="845"/>
      <c r="D21" s="845"/>
      <c r="E21" s="845"/>
    </row>
    <row r="22" spans="1:8" ht="30" customHeight="1" x14ac:dyDescent="0.25">
      <c r="A22" s="209" t="s">
        <v>465</v>
      </c>
      <c r="B22" s="846">
        <f>B16/(B20+B21)</f>
        <v>18.814281035047493</v>
      </c>
      <c r="C22" s="846"/>
      <c r="D22" s="846"/>
      <c r="E22" s="846"/>
    </row>
    <row r="23" spans="1:8" ht="30" customHeight="1" x14ac:dyDescent="0.25">
      <c r="A23" s="209" t="s">
        <v>466</v>
      </c>
      <c r="B23" s="847">
        <f>(B16-B17)/(B20+B21)</f>
        <v>3.5368490009826399</v>
      </c>
      <c r="C23" s="847"/>
      <c r="D23" s="847"/>
      <c r="E23" s="847"/>
    </row>
    <row r="24" spans="1:8" ht="30" customHeight="1" x14ac:dyDescent="0.25">
      <c r="A24" s="211" t="s">
        <v>476</v>
      </c>
      <c r="B24" s="901">
        <f>B18*K10/1000</f>
        <v>9.2654999999999994</v>
      </c>
      <c r="C24" s="901"/>
      <c r="D24" s="901"/>
      <c r="E24" s="901"/>
    </row>
    <row r="25" spans="1:8" ht="30" customHeight="1" x14ac:dyDescent="0.25">
      <c r="A25" s="212" t="s">
        <v>463</v>
      </c>
      <c r="B25" s="881">
        <f>B24/'Objectifs CO2'!C15</f>
        <v>6.7131823534457196E-3</v>
      </c>
      <c r="C25" s="881"/>
      <c r="D25" s="881"/>
      <c r="E25" s="881"/>
    </row>
    <row r="26" spans="1:8" ht="30" customHeight="1" x14ac:dyDescent="0.25">
      <c r="A26" s="213" t="s">
        <v>464</v>
      </c>
      <c r="B26" s="881">
        <f>B24/'Objectifs CO2'!C8</f>
        <v>1.342636470689144E-3</v>
      </c>
      <c r="C26" s="881"/>
      <c r="D26" s="881"/>
      <c r="E26" s="881"/>
    </row>
    <row r="27" spans="1:8" ht="30" customHeight="1" x14ac:dyDescent="0.25">
      <c r="A27" s="213" t="s">
        <v>24</v>
      </c>
      <c r="B27" s="853"/>
      <c r="C27" s="853"/>
      <c r="D27" s="853"/>
      <c r="E27" s="853"/>
    </row>
    <row r="28" spans="1:8" ht="30" customHeight="1" x14ac:dyDescent="0.25">
      <c r="A28" s="213" t="s">
        <v>418</v>
      </c>
      <c r="B28" s="853"/>
      <c r="C28" s="853"/>
      <c r="D28" s="853"/>
      <c r="E28" s="853"/>
    </row>
  </sheetData>
  <mergeCells count="28">
    <mergeCell ref="A2:E2"/>
    <mergeCell ref="C5:D5"/>
    <mergeCell ref="B7:E7"/>
    <mergeCell ref="B8:E8"/>
    <mergeCell ref="B22:E22"/>
    <mergeCell ref="B10:E10"/>
    <mergeCell ref="B11:E11"/>
    <mergeCell ref="B12:E12"/>
    <mergeCell ref="B13:E13"/>
    <mergeCell ref="B14:E14"/>
    <mergeCell ref="B15:E15"/>
    <mergeCell ref="B16:E16"/>
    <mergeCell ref="B17:E17"/>
    <mergeCell ref="B18:E18"/>
    <mergeCell ref="B19:E19"/>
    <mergeCell ref="G4:I4"/>
    <mergeCell ref="G5:I5"/>
    <mergeCell ref="B23:E23"/>
    <mergeCell ref="B24:E24"/>
    <mergeCell ref="B28:E28"/>
    <mergeCell ref="B9:E9"/>
    <mergeCell ref="B25:E25"/>
    <mergeCell ref="B26:E26"/>
    <mergeCell ref="B27:E27"/>
    <mergeCell ref="B20:E20"/>
    <mergeCell ref="B21:E21"/>
    <mergeCell ref="G6:I6"/>
    <mergeCell ref="C4:D4"/>
  </mergeCells>
  <conditionalFormatting sqref="E5">
    <cfRule type="containsText" dxfId="179" priority="1" operator="containsText" text="Terminé">
      <formula>NOT(ISERROR(SEARCH("Terminé",E5)))</formula>
    </cfRule>
    <cfRule type="containsText" dxfId="178" priority="2" operator="containsText" text="En cours">
      <formula>NOT(ISERROR(SEARCH("En cours",E5)))</formula>
    </cfRule>
    <cfRule type="containsText" dxfId="177" priority="3" operator="containsText" text="A faire">
      <formula>NOT(ISERROR(SEARCH("A faire",E5)))</formula>
    </cfRule>
  </conditionalFormatting>
  <hyperlinks>
    <hyperlink ref="G4:I4" location="'Objectifs CO2'!A1" display="Lien vers Objectifs CO2"/>
    <hyperlink ref="G5:I5" location="'Synthèse CO2'!A1" display="Lien synthèse CO2"/>
    <hyperlink ref="G6" location="CALENDRIER!A1" display="Lien vers CALENDRIER"/>
  </hyperlinks>
  <pageMargins left="0.7" right="0.7" top="0.75" bottom="0.75" header="0.3" footer="0.3"/>
  <pageSetup paperSize="9" scale="84"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28"/>
  <sheetViews>
    <sheetView zoomScaleNormal="100" zoomScaleSheetLayoutView="175"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9" ht="21" x14ac:dyDescent="0.35">
      <c r="A1" s="11" t="s">
        <v>87</v>
      </c>
      <c r="B1" s="11"/>
      <c r="C1" s="11"/>
      <c r="D1" s="11"/>
      <c r="E1" s="11"/>
    </row>
    <row r="2" spans="1:9" ht="26.25" x14ac:dyDescent="0.4">
      <c r="A2" s="856" t="s">
        <v>913</v>
      </c>
      <c r="B2" s="856"/>
      <c r="C2" s="856"/>
      <c r="D2" s="856"/>
      <c r="E2" s="856"/>
    </row>
    <row r="3" spans="1:9" ht="27" thickBot="1" x14ac:dyDescent="0.45">
      <c r="A3" s="147"/>
      <c r="B3" s="147"/>
      <c r="C3" s="147"/>
      <c r="D3" s="147"/>
      <c r="E3" s="147"/>
    </row>
    <row r="4" spans="1:9" ht="15.75" thickBot="1" x14ac:dyDescent="0.3">
      <c r="A4" s="12"/>
      <c r="B4" s="233" t="s">
        <v>469</v>
      </c>
      <c r="C4" s="851" t="s">
        <v>35</v>
      </c>
      <c r="D4" s="852"/>
      <c r="E4" s="175" t="s">
        <v>405</v>
      </c>
      <c r="G4" s="848" t="s">
        <v>914</v>
      </c>
      <c r="H4" s="848"/>
      <c r="I4" s="848"/>
    </row>
    <row r="5" spans="1:9" ht="18.75" customHeight="1" x14ac:dyDescent="0.25">
      <c r="A5" s="381" t="s">
        <v>651</v>
      </c>
      <c r="B5" s="382" t="s">
        <v>652</v>
      </c>
      <c r="C5" s="820" t="s">
        <v>18</v>
      </c>
      <c r="D5" s="820"/>
      <c r="E5" s="232" t="s">
        <v>22</v>
      </c>
      <c r="G5" s="848" t="s">
        <v>915</v>
      </c>
      <c r="H5" s="848"/>
      <c r="I5" s="848"/>
    </row>
    <row r="6" spans="1:9" ht="16.5" thickBot="1" x14ac:dyDescent="0.3">
      <c r="A6" s="379" t="s">
        <v>660</v>
      </c>
      <c r="B6" s="380" t="s">
        <v>784</v>
      </c>
      <c r="C6" s="16"/>
      <c r="D6" s="16"/>
      <c r="E6" s="16"/>
      <c r="G6" s="850" t="s">
        <v>916</v>
      </c>
      <c r="H6" s="850"/>
      <c r="I6" s="850"/>
    </row>
    <row r="7" spans="1:9" ht="24" customHeight="1" thickBot="1" x14ac:dyDescent="0.3">
      <c r="A7" s="207" t="s">
        <v>1</v>
      </c>
      <c r="B7" s="851" t="s">
        <v>403</v>
      </c>
      <c r="C7" s="891"/>
      <c r="D7" s="891"/>
      <c r="E7" s="852"/>
    </row>
    <row r="8" spans="1:9" ht="24" customHeight="1" thickBot="1" x14ac:dyDescent="0.3">
      <c r="A8" s="207" t="s">
        <v>0</v>
      </c>
      <c r="B8" s="851" t="s">
        <v>850</v>
      </c>
      <c r="C8" s="891"/>
      <c r="D8" s="891"/>
      <c r="E8" s="852"/>
    </row>
    <row r="9" spans="1:9" ht="93" customHeight="1" x14ac:dyDescent="0.25">
      <c r="A9" s="208" t="s">
        <v>2</v>
      </c>
      <c r="B9" s="917" t="s">
        <v>404</v>
      </c>
      <c r="C9" s="918"/>
      <c r="D9" s="918"/>
      <c r="E9" s="919"/>
    </row>
    <row r="10" spans="1:9" ht="54" customHeight="1" x14ac:dyDescent="0.25">
      <c r="A10" s="208" t="s">
        <v>31</v>
      </c>
      <c r="B10" s="889"/>
      <c r="C10" s="889"/>
      <c r="D10" s="889"/>
      <c r="E10" s="889"/>
    </row>
    <row r="11" spans="1:9" ht="30" customHeight="1" x14ac:dyDescent="0.25">
      <c r="A11" s="209" t="s">
        <v>16</v>
      </c>
      <c r="B11" s="874" t="s">
        <v>512</v>
      </c>
      <c r="C11" s="874"/>
      <c r="D11" s="874"/>
      <c r="E11" s="874"/>
    </row>
    <row r="12" spans="1:9" ht="30" customHeight="1" x14ac:dyDescent="0.25">
      <c r="A12" s="209" t="s">
        <v>3</v>
      </c>
      <c r="B12" s="874"/>
      <c r="C12" s="874"/>
      <c r="D12" s="874"/>
      <c r="E12" s="874"/>
    </row>
    <row r="13" spans="1:9" ht="30" customHeight="1" x14ac:dyDescent="0.25">
      <c r="A13" s="209" t="s">
        <v>17</v>
      </c>
      <c r="B13" s="874"/>
      <c r="C13" s="874"/>
      <c r="D13" s="874"/>
      <c r="E13" s="874"/>
    </row>
    <row r="14" spans="1:9" ht="30" customHeight="1" x14ac:dyDescent="0.25">
      <c r="A14" s="209" t="s">
        <v>4</v>
      </c>
      <c r="B14" s="874">
        <v>2007</v>
      </c>
      <c r="C14" s="874"/>
      <c r="D14" s="874"/>
      <c r="E14" s="874"/>
      <c r="F14" s="177"/>
    </row>
    <row r="15" spans="1:9" ht="30" customHeight="1" x14ac:dyDescent="0.25">
      <c r="A15" s="209" t="s">
        <v>5</v>
      </c>
      <c r="B15" s="923">
        <v>2014</v>
      </c>
      <c r="C15" s="923"/>
      <c r="D15" s="923"/>
      <c r="E15" s="923"/>
      <c r="F15" s="177"/>
    </row>
    <row r="16" spans="1:9" ht="30" customHeight="1" x14ac:dyDescent="0.25">
      <c r="A16" s="209" t="s">
        <v>6</v>
      </c>
      <c r="B16" s="845">
        <f>H16</f>
        <v>1767679.1233333333</v>
      </c>
      <c r="C16" s="845"/>
      <c r="D16" s="845"/>
      <c r="E16" s="845"/>
      <c r="F16" s="178"/>
      <c r="G16" s="235"/>
      <c r="H16" s="236">
        <f>RESUM!L7</f>
        <v>1767679.1233333333</v>
      </c>
    </row>
    <row r="17" spans="1:8" ht="30" customHeight="1" x14ac:dyDescent="0.25">
      <c r="A17" s="209" t="s">
        <v>7</v>
      </c>
      <c r="B17" s="845">
        <f>H17</f>
        <v>579599.18999999994</v>
      </c>
      <c r="C17" s="845"/>
      <c r="D17" s="845"/>
      <c r="E17" s="845"/>
      <c r="F17" s="179"/>
      <c r="G17" s="235"/>
      <c r="H17" s="236">
        <f>RESUM!L8</f>
        <v>579599.18999999994</v>
      </c>
    </row>
    <row r="18" spans="1:8" ht="30" customHeight="1" x14ac:dyDescent="0.25">
      <c r="A18" s="210" t="s">
        <v>468</v>
      </c>
      <c r="B18" s="868">
        <f>G18</f>
        <v>3641784.7226584605</v>
      </c>
      <c r="C18" s="869"/>
      <c r="D18" s="869"/>
      <c r="E18" s="869"/>
      <c r="F18" s="177"/>
      <c r="G18" s="236">
        <f>RESUM!L5*8/7</f>
        <v>3641784.7226584605</v>
      </c>
      <c r="H18" s="236">
        <f>RESUM!L8</f>
        <v>579599.18999999994</v>
      </c>
    </row>
    <row r="19" spans="1:8" ht="30" customHeight="1" x14ac:dyDescent="0.25">
      <c r="A19" s="238" t="s">
        <v>467</v>
      </c>
      <c r="B19" s="870">
        <f>+G19</f>
        <v>340883.29199999996</v>
      </c>
      <c r="C19" s="871"/>
      <c r="D19" s="871"/>
      <c r="E19" s="871"/>
      <c r="F19" s="83"/>
      <c r="G19" s="235">
        <f>(RESUM!F5+RESUM!H5)*8/7</f>
        <v>340883.29199999996</v>
      </c>
      <c r="H19" s="235"/>
    </row>
    <row r="20" spans="1:8" ht="30" customHeight="1" x14ac:dyDescent="0.25">
      <c r="A20" s="209" t="s">
        <v>8</v>
      </c>
      <c r="B20" s="845">
        <f>B18/10*G20</f>
        <v>313193.48614862759</v>
      </c>
      <c r="C20" s="845"/>
      <c r="D20" s="845"/>
      <c r="E20" s="845"/>
      <c r="F20" s="177"/>
      <c r="G20" s="235">
        <v>0.86</v>
      </c>
      <c r="H20" s="237">
        <v>0.26100000000000001</v>
      </c>
    </row>
    <row r="21" spans="1:8" ht="30" customHeight="1" x14ac:dyDescent="0.25">
      <c r="A21" s="209" t="s">
        <v>9</v>
      </c>
      <c r="B21" s="845">
        <f>B19/1000*G21</f>
        <v>0</v>
      </c>
      <c r="C21" s="845"/>
      <c r="D21" s="845"/>
      <c r="E21" s="845"/>
      <c r="F21" s="180"/>
    </row>
    <row r="22" spans="1:8" ht="30" customHeight="1" x14ac:dyDescent="0.25">
      <c r="A22" s="209" t="s">
        <v>465</v>
      </c>
      <c r="B22" s="846">
        <f>B16/(B20+B21)</f>
        <v>5.6440481731298586</v>
      </c>
      <c r="C22" s="846"/>
      <c r="D22" s="846"/>
      <c r="E22" s="846"/>
      <c r="F22" s="180"/>
    </row>
    <row r="23" spans="1:8" ht="30" customHeight="1" x14ac:dyDescent="0.25">
      <c r="A23" s="209" t="s">
        <v>466</v>
      </c>
      <c r="B23" s="847">
        <f>(B16-B17)/(B20+B21)</f>
        <v>3.7934375581793671</v>
      </c>
      <c r="C23" s="847"/>
      <c r="D23" s="847"/>
      <c r="E23" s="847"/>
      <c r="F23" s="181"/>
    </row>
    <row r="24" spans="1:8" ht="30" customHeight="1" x14ac:dyDescent="0.25">
      <c r="A24" s="211" t="s">
        <v>476</v>
      </c>
      <c r="B24" s="901">
        <f>(B18+B19)/1000*H20</f>
        <v>1039.4763518258583</v>
      </c>
      <c r="C24" s="901"/>
      <c r="D24" s="901"/>
      <c r="E24" s="901"/>
      <c r="F24" s="182"/>
    </row>
    <row r="25" spans="1:8" ht="30" customHeight="1" x14ac:dyDescent="0.25">
      <c r="A25" s="212" t="s">
        <v>463</v>
      </c>
      <c r="B25" s="881">
        <f>B24/'Objectifs CO2'!C12</f>
        <v>0.30125494800718738</v>
      </c>
      <c r="C25" s="881"/>
      <c r="D25" s="881"/>
      <c r="E25" s="881"/>
    </row>
    <row r="26" spans="1:8" ht="30" customHeight="1" x14ac:dyDescent="0.25">
      <c r="A26" s="213" t="s">
        <v>464</v>
      </c>
      <c r="B26" s="881">
        <f>B24/'Objectifs CO2'!C8</f>
        <v>0.15062747400359369</v>
      </c>
      <c r="C26" s="881"/>
      <c r="D26" s="881"/>
      <c r="E26" s="881"/>
    </row>
    <row r="27" spans="1:8" ht="30" customHeight="1" x14ac:dyDescent="0.25">
      <c r="A27" s="213" t="s">
        <v>24</v>
      </c>
      <c r="B27" s="853"/>
      <c r="C27" s="853"/>
      <c r="D27" s="853"/>
      <c r="E27" s="853"/>
    </row>
    <row r="28" spans="1:8" ht="30" customHeight="1" x14ac:dyDescent="0.25">
      <c r="A28" s="213" t="s">
        <v>418</v>
      </c>
      <c r="B28" s="853"/>
      <c r="C28" s="853"/>
      <c r="D28" s="853"/>
      <c r="E28" s="853"/>
    </row>
  </sheetData>
  <mergeCells count="28">
    <mergeCell ref="B28:E28"/>
    <mergeCell ref="B15:E15"/>
    <mergeCell ref="A2:E2"/>
    <mergeCell ref="C5:D5"/>
    <mergeCell ref="B7:E7"/>
    <mergeCell ref="B8:E8"/>
    <mergeCell ref="B9:E9"/>
    <mergeCell ref="B10:E10"/>
    <mergeCell ref="B11:E11"/>
    <mergeCell ref="B12:E12"/>
    <mergeCell ref="B13:E13"/>
    <mergeCell ref="B14:E14"/>
    <mergeCell ref="B27:E27"/>
    <mergeCell ref="B16:E16"/>
    <mergeCell ref="B17:E17"/>
    <mergeCell ref="B18:E18"/>
    <mergeCell ref="G4:I4"/>
    <mergeCell ref="G5:I5"/>
    <mergeCell ref="B24:E24"/>
    <mergeCell ref="B25:E25"/>
    <mergeCell ref="B26:E26"/>
    <mergeCell ref="B19:E19"/>
    <mergeCell ref="B20:E20"/>
    <mergeCell ref="B21:E21"/>
    <mergeCell ref="B22:E22"/>
    <mergeCell ref="B23:E23"/>
    <mergeCell ref="G6:I6"/>
    <mergeCell ref="C4:D4"/>
  </mergeCells>
  <conditionalFormatting sqref="E5">
    <cfRule type="containsText" dxfId="176" priority="1" operator="containsText" text="Terminé">
      <formula>NOT(ISERROR(SEARCH("Terminé",E5)))</formula>
    </cfRule>
    <cfRule type="containsText" dxfId="175" priority="2" operator="containsText" text="En cours">
      <formula>NOT(ISERROR(SEARCH("En cours",E5)))</formula>
    </cfRule>
    <cfRule type="containsText" dxfId="174" priority="3" operator="containsText" text="A faire">
      <formula>NOT(ISERROR(SEARCH("A faire",E5)))</formula>
    </cfRule>
  </conditionalFormatting>
  <hyperlinks>
    <hyperlink ref="G4:I4" location="'Objectifs CO2'!A1" display="Lien vers Objectifs CO2"/>
    <hyperlink ref="G5:I5" location="'Synthèse CO2'!A1" display="Lien synthèse CO2"/>
    <hyperlink ref="G6" location="CALENDRIER!A1" display="Lien vers CALENDRIER"/>
  </hyperlinks>
  <pageMargins left="0.7" right="0.7" top="0.75" bottom="0.75" header="0.3" footer="0.3"/>
  <pageSetup paperSize="9" scale="9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8"/>
  <sheetViews>
    <sheetView workbookViewId="0">
      <selection activeCell="I22" sqref="I22"/>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4" ht="21" x14ac:dyDescent="0.35">
      <c r="A1" s="11" t="s">
        <v>87</v>
      </c>
      <c r="B1" s="11"/>
      <c r="C1" s="11"/>
      <c r="D1" s="11"/>
      <c r="E1" s="11"/>
    </row>
    <row r="2" spans="1:14" ht="26.25" x14ac:dyDescent="0.4">
      <c r="A2" s="856" t="s">
        <v>913</v>
      </c>
      <c r="B2" s="856"/>
      <c r="C2" s="856"/>
      <c r="D2" s="856"/>
      <c r="E2" s="856"/>
    </row>
    <row r="3" spans="1:14" ht="27" thickBot="1" x14ac:dyDescent="0.45">
      <c r="A3" s="633"/>
      <c r="B3" s="633"/>
      <c r="C3" s="633"/>
      <c r="D3" s="633"/>
      <c r="E3" s="633"/>
    </row>
    <row r="4" spans="1:14" ht="15.75" thickBot="1" x14ac:dyDescent="0.3">
      <c r="A4" s="12"/>
      <c r="B4" s="233" t="s">
        <v>469</v>
      </c>
      <c r="C4" s="851" t="s">
        <v>35</v>
      </c>
      <c r="D4" s="852"/>
      <c r="E4" s="175" t="s">
        <v>879</v>
      </c>
      <c r="G4" s="848" t="s">
        <v>914</v>
      </c>
      <c r="H4" s="848"/>
      <c r="I4" s="848"/>
    </row>
    <row r="5" spans="1:14" ht="18.75" customHeight="1" x14ac:dyDescent="0.25">
      <c r="A5" s="381" t="s">
        <v>651</v>
      </c>
      <c r="B5" s="382" t="s">
        <v>652</v>
      </c>
      <c r="C5" s="820" t="s">
        <v>18</v>
      </c>
      <c r="D5" s="820"/>
      <c r="E5" s="232" t="s">
        <v>21</v>
      </c>
      <c r="G5" s="848" t="s">
        <v>915</v>
      </c>
      <c r="H5" s="848"/>
      <c r="I5" s="848"/>
    </row>
    <row r="6" spans="1:14" ht="16.5" thickBot="1" x14ac:dyDescent="0.3">
      <c r="A6" s="379" t="s">
        <v>660</v>
      </c>
      <c r="B6" s="380" t="s">
        <v>784</v>
      </c>
      <c r="C6" s="16"/>
      <c r="D6" s="16"/>
      <c r="E6" s="16"/>
      <c r="G6" s="850" t="s">
        <v>916</v>
      </c>
      <c r="H6" s="850"/>
      <c r="I6" s="850"/>
    </row>
    <row r="7" spans="1:14" ht="24" customHeight="1" thickBot="1" x14ac:dyDescent="0.3">
      <c r="A7" s="207" t="s">
        <v>1</v>
      </c>
      <c r="B7" s="851" t="s">
        <v>403</v>
      </c>
      <c r="C7" s="891"/>
      <c r="D7" s="891"/>
      <c r="E7" s="852"/>
    </row>
    <row r="8" spans="1:14" ht="24" customHeight="1" thickBot="1" x14ac:dyDescent="0.3">
      <c r="A8" s="207" t="s">
        <v>0</v>
      </c>
      <c r="B8" s="820" t="s">
        <v>880</v>
      </c>
      <c r="C8" s="820"/>
      <c r="D8" s="820"/>
      <c r="E8" s="820"/>
    </row>
    <row r="9" spans="1:14" ht="93" customHeight="1" x14ac:dyDescent="0.25">
      <c r="A9" s="208" t="s">
        <v>2</v>
      </c>
      <c r="B9" s="890" t="s">
        <v>881</v>
      </c>
      <c r="C9" s="889"/>
      <c r="D9" s="889"/>
      <c r="E9" s="889"/>
      <c r="G9" s="117" t="s">
        <v>882</v>
      </c>
      <c r="H9" s="117" t="s">
        <v>883</v>
      </c>
      <c r="I9" s="117" t="s">
        <v>884</v>
      </c>
      <c r="J9" s="117" t="s">
        <v>885</v>
      </c>
      <c r="K9" s="117" t="s">
        <v>901</v>
      </c>
      <c r="L9" s="117" t="s">
        <v>900</v>
      </c>
      <c r="M9" s="117" t="s">
        <v>899</v>
      </c>
      <c r="N9" s="117" t="s">
        <v>898</v>
      </c>
    </row>
    <row r="10" spans="1:14" ht="54" customHeight="1" x14ac:dyDescent="0.25">
      <c r="A10" s="208" t="s">
        <v>31</v>
      </c>
      <c r="B10" s="890" t="s">
        <v>976</v>
      </c>
      <c r="C10" s="889"/>
      <c r="D10" s="889"/>
      <c r="E10" s="889"/>
      <c r="G10" s="129">
        <f>'Objectifs CO2'!AF41</f>
        <v>15523.573948709591</v>
      </c>
      <c r="H10" s="129">
        <f>'[1]Objectifs CO2'!Y32</f>
        <v>0</v>
      </c>
      <c r="I10" s="129">
        <f>'Objectifs CO2'!AH41</f>
        <v>60437.991262366471</v>
      </c>
      <c r="J10" s="129">
        <f>'Objectifs CO2'!AI41</f>
        <v>8433.1204484338723</v>
      </c>
      <c r="K10" s="129">
        <f>'Objectifs CO2'!AF50</f>
        <v>16199.50508211009</v>
      </c>
      <c r="L10" s="129">
        <f>'Objectifs CO2'!AG50</f>
        <v>0</v>
      </c>
      <c r="M10" s="129">
        <f>'Objectifs CO2'!AH50</f>
        <v>42329.603700995089</v>
      </c>
      <c r="N10" s="129">
        <f>'Objectifs CO2'!AI50</f>
        <v>13106.761287742573</v>
      </c>
    </row>
    <row r="11" spans="1:14" ht="30" customHeight="1" x14ac:dyDescent="0.25">
      <c r="A11" s="209" t="s">
        <v>16</v>
      </c>
      <c r="B11" s="874" t="s">
        <v>512</v>
      </c>
      <c r="C11" s="874"/>
      <c r="D11" s="874"/>
      <c r="E11" s="874"/>
    </row>
    <row r="12" spans="1:14" ht="30" customHeight="1" x14ac:dyDescent="0.25">
      <c r="A12" s="209" t="s">
        <v>3</v>
      </c>
      <c r="B12" s="874"/>
      <c r="C12" s="874"/>
      <c r="D12" s="874"/>
      <c r="E12" s="874"/>
      <c r="G12" s="636" t="s">
        <v>272</v>
      </c>
      <c r="H12" s="636" t="s">
        <v>886</v>
      </c>
      <c r="I12" s="636" t="s">
        <v>887</v>
      </c>
      <c r="J12" s="636" t="s">
        <v>888</v>
      </c>
      <c r="K12" s="117" t="s">
        <v>889</v>
      </c>
      <c r="L12" s="117" t="s">
        <v>890</v>
      </c>
      <c r="M12" s="117" t="s">
        <v>891</v>
      </c>
      <c r="N12" s="117" t="s">
        <v>892</v>
      </c>
    </row>
    <row r="13" spans="1:14" ht="30" customHeight="1" x14ac:dyDescent="0.25">
      <c r="A13" s="209" t="s">
        <v>17</v>
      </c>
      <c r="B13" s="874"/>
      <c r="C13" s="874"/>
      <c r="D13" s="874"/>
      <c r="E13" s="874"/>
      <c r="G13" s="636">
        <f>V14</f>
        <v>0</v>
      </c>
      <c r="H13" s="636">
        <f>V15</f>
        <v>0</v>
      </c>
      <c r="I13" s="636">
        <f>V7</f>
        <v>0</v>
      </c>
      <c r="J13" s="636">
        <f>V8</f>
        <v>0</v>
      </c>
      <c r="K13" s="641">
        <v>0.2</v>
      </c>
      <c r="L13" s="641">
        <v>0.55000000000000004</v>
      </c>
      <c r="M13" s="641">
        <v>0.7</v>
      </c>
      <c r="N13" s="641">
        <v>2.7E-2</v>
      </c>
    </row>
    <row r="14" spans="1:14" ht="30" customHeight="1" x14ac:dyDescent="0.25">
      <c r="A14" s="209" t="s">
        <v>4</v>
      </c>
      <c r="B14" s="905">
        <v>2006</v>
      </c>
      <c r="C14" s="906"/>
      <c r="D14" s="906"/>
      <c r="E14" s="907"/>
      <c r="F14" s="177"/>
      <c r="K14" s="117" t="s">
        <v>893</v>
      </c>
      <c r="L14" s="117" t="s">
        <v>894</v>
      </c>
      <c r="M14" s="117" t="s">
        <v>895</v>
      </c>
      <c r="N14" s="117" t="s">
        <v>896</v>
      </c>
    </row>
    <row r="15" spans="1:14" ht="30" customHeight="1" x14ac:dyDescent="0.25">
      <c r="A15" s="209" t="s">
        <v>5</v>
      </c>
      <c r="B15" s="905">
        <v>2014</v>
      </c>
      <c r="C15" s="906"/>
      <c r="D15" s="906"/>
      <c r="E15" s="907"/>
      <c r="F15" s="177"/>
      <c r="K15" s="641">
        <v>0.24</v>
      </c>
      <c r="L15" s="641">
        <v>0.65</v>
      </c>
      <c r="M15" s="641">
        <v>0.85</v>
      </c>
      <c r="N15" s="641">
        <v>2.5000000000000001E-2</v>
      </c>
    </row>
    <row r="16" spans="1:14" ht="30" customHeight="1" x14ac:dyDescent="0.25">
      <c r="A16" s="209" t="s">
        <v>6</v>
      </c>
      <c r="B16" s="845">
        <f>B18*0.7</f>
        <v>8931170.9120635167</v>
      </c>
      <c r="C16" s="845"/>
      <c r="D16" s="845"/>
      <c r="E16" s="845"/>
      <c r="F16" s="178"/>
    </row>
    <row r="17" spans="1:10" ht="30" customHeight="1" x14ac:dyDescent="0.25">
      <c r="A17" s="209" t="s">
        <v>7</v>
      </c>
      <c r="B17" s="845">
        <f>B16*0.1</f>
        <v>893117.09120635176</v>
      </c>
      <c r="C17" s="845"/>
      <c r="D17" s="845"/>
      <c r="E17" s="845"/>
      <c r="F17" s="179"/>
      <c r="G17" s="120">
        <f>G10-K10</f>
        <v>-675.93113340049968</v>
      </c>
      <c r="H17" s="120">
        <f>H10-L10</f>
        <v>0</v>
      </c>
      <c r="I17" s="120">
        <f>I10-M10</f>
        <v>18108.387561371383</v>
      </c>
      <c r="J17" s="120">
        <f>J10-N10</f>
        <v>-4673.6408393087004</v>
      </c>
    </row>
    <row r="18" spans="1:10" ht="30" customHeight="1" x14ac:dyDescent="0.25">
      <c r="A18" s="210" t="s">
        <v>468</v>
      </c>
      <c r="B18" s="927">
        <f>('Objectifs CO2'!AJ41-'Objectifs CO2'!AJ50)*1000</f>
        <v>12758815.588662168</v>
      </c>
      <c r="C18" s="928"/>
      <c r="D18" s="928"/>
      <c r="E18" s="928"/>
      <c r="F18" s="177"/>
      <c r="G18" s="2"/>
      <c r="H18" s="2"/>
    </row>
    <row r="19" spans="1:10" ht="30" customHeight="1" x14ac:dyDescent="0.25">
      <c r="A19" s="238" t="s">
        <v>467</v>
      </c>
      <c r="B19" s="929">
        <v>0</v>
      </c>
      <c r="C19" s="930"/>
      <c r="D19" s="930"/>
      <c r="E19" s="930"/>
      <c r="F19" s="83"/>
      <c r="I19" s="642" t="s">
        <v>902</v>
      </c>
    </row>
    <row r="20" spans="1:10" ht="30" customHeight="1" x14ac:dyDescent="0.25">
      <c r="A20" s="209" t="s">
        <v>8</v>
      </c>
      <c r="B20" s="845">
        <f>I20</f>
        <v>15113064.934166837</v>
      </c>
      <c r="C20" s="845"/>
      <c r="D20" s="845"/>
      <c r="E20" s="845"/>
      <c r="F20" s="177"/>
      <c r="I20" s="643">
        <f>((G10-K10)*K15+(H10-L10)*L15+(I10-M10)*M15+(J10-N10)*N15)*1000</f>
        <v>15113064.934166837</v>
      </c>
    </row>
    <row r="21" spans="1:10" ht="30" customHeight="1" x14ac:dyDescent="0.25">
      <c r="A21" s="209" t="s">
        <v>9</v>
      </c>
      <c r="B21" s="845">
        <v>0</v>
      </c>
      <c r="C21" s="845"/>
      <c r="D21" s="845"/>
      <c r="E21" s="845"/>
      <c r="F21" s="180"/>
    </row>
    <row r="22" spans="1:10" ht="30" customHeight="1" x14ac:dyDescent="0.25">
      <c r="A22" s="209" t="s">
        <v>465</v>
      </c>
      <c r="B22" s="924">
        <f>B16/(B20+B21)</f>
        <v>0.59095696015123877</v>
      </c>
      <c r="C22" s="924"/>
      <c r="D22" s="924"/>
      <c r="E22" s="924"/>
      <c r="F22" s="180"/>
    </row>
    <row r="23" spans="1:10" ht="30" customHeight="1" x14ac:dyDescent="0.25">
      <c r="A23" s="209" t="s">
        <v>466</v>
      </c>
      <c r="B23" s="925">
        <f>(B16-B17)/(B20+B21)</f>
        <v>0.53186126413611501</v>
      </c>
      <c r="C23" s="925"/>
      <c r="D23" s="925"/>
      <c r="E23" s="925"/>
      <c r="F23" s="181"/>
    </row>
    <row r="24" spans="1:10" ht="30" customHeight="1" x14ac:dyDescent="0.25">
      <c r="A24" s="211" t="s">
        <v>476</v>
      </c>
      <c r="B24" s="926">
        <f>'Objectifs CO2'!U41-'Objectifs CO2'!U50</f>
        <v>4506.9959857308131</v>
      </c>
      <c r="C24" s="926"/>
      <c r="D24" s="926"/>
      <c r="E24" s="926"/>
      <c r="F24" s="182"/>
    </row>
    <row r="25" spans="1:10" ht="30" customHeight="1" x14ac:dyDescent="0.25">
      <c r="A25" s="212" t="s">
        <v>463</v>
      </c>
      <c r="B25" s="881">
        <f>B24/'Objectifs CO2'!C12</f>
        <v>1.3061911788228933</v>
      </c>
      <c r="C25" s="881"/>
      <c r="D25" s="881"/>
      <c r="E25" s="881"/>
    </row>
    <row r="26" spans="1:10" ht="30" customHeight="1" x14ac:dyDescent="0.25">
      <c r="A26" s="213" t="s">
        <v>464</v>
      </c>
      <c r="B26" s="881">
        <f>B24/'Objectifs CO2'!C8</f>
        <v>0.65309558941144663</v>
      </c>
      <c r="C26" s="881"/>
      <c r="D26" s="881"/>
      <c r="E26" s="881"/>
    </row>
    <row r="27" spans="1:10" ht="30" customHeight="1" x14ac:dyDescent="0.25">
      <c r="A27" s="213" t="s">
        <v>24</v>
      </c>
      <c r="B27" s="853"/>
      <c r="C27" s="853"/>
      <c r="D27" s="853"/>
      <c r="E27" s="853"/>
    </row>
    <row r="28" spans="1:10" ht="30" customHeight="1" x14ac:dyDescent="0.25">
      <c r="A28" s="213" t="s">
        <v>418</v>
      </c>
      <c r="B28" s="853"/>
      <c r="C28" s="853"/>
      <c r="D28" s="853"/>
      <c r="E28" s="853"/>
    </row>
  </sheetData>
  <mergeCells count="28">
    <mergeCell ref="B13:E13"/>
    <mergeCell ref="A2:E2"/>
    <mergeCell ref="G4:I4"/>
    <mergeCell ref="C5:D5"/>
    <mergeCell ref="G5:I5"/>
    <mergeCell ref="G6:I6"/>
    <mergeCell ref="B7:E7"/>
    <mergeCell ref="B8:E8"/>
    <mergeCell ref="B9:E9"/>
    <mergeCell ref="B10:E10"/>
    <mergeCell ref="B11:E11"/>
    <mergeCell ref="B12:E12"/>
    <mergeCell ref="B26:E26"/>
    <mergeCell ref="B27:E27"/>
    <mergeCell ref="B28:E28"/>
    <mergeCell ref="C4:D4"/>
    <mergeCell ref="B20:E20"/>
    <mergeCell ref="B21:E21"/>
    <mergeCell ref="B22:E22"/>
    <mergeCell ref="B23:E23"/>
    <mergeCell ref="B24:E24"/>
    <mergeCell ref="B25:E25"/>
    <mergeCell ref="B14:E14"/>
    <mergeCell ref="B15:E15"/>
    <mergeCell ref="B16:E16"/>
    <mergeCell ref="B17:E17"/>
    <mergeCell ref="B18:E18"/>
    <mergeCell ref="B19:E19"/>
  </mergeCells>
  <conditionalFormatting sqref="E5">
    <cfRule type="containsText" dxfId="173" priority="1" operator="containsText" text="Terminé">
      <formula>NOT(ISERROR(SEARCH("Terminé",E5)))</formula>
    </cfRule>
    <cfRule type="containsText" dxfId="172" priority="2" operator="containsText" text="En cours">
      <formula>NOT(ISERROR(SEARCH("En cours",E5)))</formula>
    </cfRule>
    <cfRule type="containsText" dxfId="171" priority="3" operator="containsText" text="A faire">
      <formula>NOT(ISERROR(SEARCH("A faire",E5)))</formula>
    </cfRule>
  </conditionalFormatting>
  <hyperlinks>
    <hyperlink ref="G4:I4" location="'Objectifs CO2'!A1" display="Lien vers Objectifs CO2"/>
    <hyperlink ref="G5:I5" location="'Synthèse CO2'!A1" display="Lien synthèse CO2"/>
    <hyperlink ref="G6" location="CALENDRIER!A1" display="Lien vers CALENDRIER"/>
  </hyperlink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CO2'!$R$8:$R$15</xm:f>
          </x14:formula1>
          <xm:sqref>B5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CO2'!$P$8:$P$12</xm:f>
          </x14:formula1>
          <xm:sqref>E5</xm:sqref>
        </x14:dataValidation>
        <x14:dataValidation type="list" allowBlank="1" showInputMessage="1" showErrorMessage="1">
          <x14:formula1>
            <xm:f>'Objectifs CO2'!$U$3:$U$9</xm:f>
          </x14:formula1>
          <xm:sqref>C4:D4</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8"/>
  <sheetViews>
    <sheetView zoomScaleNormal="100" zoomScaleSheetLayoutView="175"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9" ht="21" x14ac:dyDescent="0.35">
      <c r="A1" s="11" t="s">
        <v>87</v>
      </c>
      <c r="B1" s="11"/>
      <c r="C1" s="11"/>
      <c r="D1" s="11"/>
      <c r="E1" s="11"/>
    </row>
    <row r="2" spans="1:9" ht="26.25" x14ac:dyDescent="0.4">
      <c r="A2" s="856" t="s">
        <v>913</v>
      </c>
      <c r="B2" s="856"/>
      <c r="C2" s="856"/>
      <c r="D2" s="856"/>
      <c r="E2" s="856"/>
    </row>
    <row r="3" spans="1:9" ht="27" thickBot="1" x14ac:dyDescent="0.45">
      <c r="A3" s="112"/>
      <c r="B3" s="112"/>
      <c r="C3" s="112"/>
      <c r="D3" s="112"/>
      <c r="E3" s="112"/>
    </row>
    <row r="4" spans="1:9" ht="15.75" thickBot="1" x14ac:dyDescent="0.3">
      <c r="A4" s="12"/>
      <c r="B4" s="233" t="s">
        <v>469</v>
      </c>
      <c r="C4" s="851" t="s">
        <v>40</v>
      </c>
      <c r="D4" s="852"/>
      <c r="E4" s="175" t="s">
        <v>162</v>
      </c>
      <c r="G4" s="848" t="s">
        <v>914</v>
      </c>
      <c r="H4" s="848"/>
      <c r="I4" s="848"/>
    </row>
    <row r="5" spans="1:9" ht="18.75" customHeight="1" x14ac:dyDescent="0.25">
      <c r="A5" s="381" t="s">
        <v>651</v>
      </c>
      <c r="B5" s="382" t="s">
        <v>652</v>
      </c>
      <c r="C5" s="820" t="s">
        <v>18</v>
      </c>
      <c r="D5" s="820"/>
      <c r="E5" s="232" t="s">
        <v>21</v>
      </c>
      <c r="G5" s="848" t="s">
        <v>915</v>
      </c>
      <c r="H5" s="848"/>
      <c r="I5" s="848"/>
    </row>
    <row r="6" spans="1:9" ht="16.5" thickBot="1" x14ac:dyDescent="0.3">
      <c r="A6" s="379" t="s">
        <v>660</v>
      </c>
      <c r="B6" s="380" t="s">
        <v>398</v>
      </c>
      <c r="C6" s="16"/>
      <c r="D6" s="16"/>
      <c r="E6" s="16"/>
      <c r="G6" s="850" t="s">
        <v>916</v>
      </c>
      <c r="H6" s="850"/>
      <c r="I6" s="850"/>
    </row>
    <row r="7" spans="1:9" ht="24" customHeight="1" thickBot="1" x14ac:dyDescent="0.3">
      <c r="A7" s="207" t="s">
        <v>1</v>
      </c>
      <c r="B7" s="820" t="s">
        <v>171</v>
      </c>
      <c r="C7" s="820"/>
      <c r="D7" s="820"/>
      <c r="E7" s="820"/>
    </row>
    <row r="8" spans="1:9" ht="34.5" customHeight="1" thickBot="1" x14ac:dyDescent="0.3">
      <c r="A8" s="207" t="s">
        <v>0</v>
      </c>
      <c r="B8" s="920" t="s">
        <v>172</v>
      </c>
      <c r="C8" s="921"/>
      <c r="D8" s="921"/>
      <c r="E8" s="922"/>
    </row>
    <row r="9" spans="1:9" ht="123.75" customHeight="1" x14ac:dyDescent="0.25">
      <c r="A9" s="208" t="s">
        <v>2</v>
      </c>
      <c r="B9" s="890" t="s">
        <v>173</v>
      </c>
      <c r="C9" s="890"/>
      <c r="D9" s="890"/>
      <c r="E9" s="890"/>
      <c r="G9" s="114" t="s">
        <v>176</v>
      </c>
      <c r="H9" s="115" t="s">
        <v>175</v>
      </c>
      <c r="I9" s="115" t="s">
        <v>272</v>
      </c>
    </row>
    <row r="10" spans="1:9" ht="54" customHeight="1" x14ac:dyDescent="0.25">
      <c r="A10" s="208" t="s">
        <v>31</v>
      </c>
      <c r="B10" s="889" t="s">
        <v>174</v>
      </c>
      <c r="C10" s="889"/>
      <c r="D10" s="889"/>
      <c r="E10" s="889"/>
      <c r="G10" s="114">
        <v>18080</v>
      </c>
      <c r="H10" s="115">
        <v>0.24</v>
      </c>
      <c r="I10" s="115">
        <v>0.11700000000000001</v>
      </c>
    </row>
    <row r="11" spans="1:9" ht="30" customHeight="1" x14ac:dyDescent="0.25">
      <c r="A11" s="209" t="s">
        <v>16</v>
      </c>
      <c r="B11" s="874" t="s">
        <v>86</v>
      </c>
      <c r="C11" s="874"/>
      <c r="D11" s="874"/>
      <c r="E11" s="874"/>
    </row>
    <row r="12" spans="1:9" ht="30" customHeight="1" x14ac:dyDescent="0.25">
      <c r="A12" s="209" t="s">
        <v>3</v>
      </c>
      <c r="B12" s="874"/>
      <c r="C12" s="874"/>
      <c r="D12" s="874"/>
      <c r="E12" s="874"/>
    </row>
    <row r="13" spans="1:9" ht="30" customHeight="1" x14ac:dyDescent="0.25">
      <c r="A13" s="209" t="s">
        <v>17</v>
      </c>
      <c r="B13" s="874"/>
      <c r="C13" s="874"/>
      <c r="D13" s="874"/>
      <c r="E13" s="874"/>
    </row>
    <row r="14" spans="1:9" ht="30" customHeight="1" x14ac:dyDescent="0.25">
      <c r="A14" s="209" t="s">
        <v>4</v>
      </c>
      <c r="B14" s="874">
        <v>2006</v>
      </c>
      <c r="C14" s="874"/>
      <c r="D14" s="874"/>
      <c r="E14" s="874"/>
    </row>
    <row r="15" spans="1:9" ht="30" customHeight="1" x14ac:dyDescent="0.25">
      <c r="A15" s="209" t="s">
        <v>5</v>
      </c>
      <c r="B15" s="874">
        <v>2016</v>
      </c>
      <c r="C15" s="874"/>
      <c r="D15" s="874"/>
      <c r="E15" s="874"/>
    </row>
    <row r="16" spans="1:9" ht="30" customHeight="1" x14ac:dyDescent="0.25">
      <c r="A16" s="209" t="s">
        <v>6</v>
      </c>
      <c r="B16" s="859">
        <v>60262</v>
      </c>
      <c r="C16" s="859"/>
      <c r="D16" s="859"/>
      <c r="E16" s="859"/>
      <c r="G16" s="39"/>
    </row>
    <row r="17" spans="1:8" ht="30" customHeight="1" x14ac:dyDescent="0.25">
      <c r="A17" s="209" t="s">
        <v>7</v>
      </c>
      <c r="B17" s="859">
        <v>47169</v>
      </c>
      <c r="C17" s="859"/>
      <c r="D17" s="859"/>
      <c r="E17" s="859"/>
      <c r="G17" s="39"/>
    </row>
    <row r="18" spans="1:8" ht="30" customHeight="1" x14ac:dyDescent="0.25">
      <c r="A18" s="210" t="s">
        <v>468</v>
      </c>
      <c r="B18" s="868">
        <f>G10</f>
        <v>18080</v>
      </c>
      <c r="C18" s="869"/>
      <c r="D18" s="869"/>
      <c r="E18" s="869"/>
      <c r="H18" s="2"/>
    </row>
    <row r="19" spans="1:8" ht="30" customHeight="1" x14ac:dyDescent="0.25">
      <c r="A19" s="238" t="s">
        <v>467</v>
      </c>
      <c r="B19" s="870"/>
      <c r="C19" s="871"/>
      <c r="D19" s="871"/>
      <c r="E19" s="871"/>
      <c r="H19" s="2"/>
    </row>
    <row r="20" spans="1:8" ht="30" customHeight="1" x14ac:dyDescent="0.25">
      <c r="A20" s="209" t="s">
        <v>8</v>
      </c>
      <c r="B20" s="845">
        <f>G10*H10</f>
        <v>4339.2</v>
      </c>
      <c r="C20" s="845"/>
      <c r="D20" s="845"/>
      <c r="E20" s="845"/>
    </row>
    <row r="21" spans="1:8" ht="30" customHeight="1" x14ac:dyDescent="0.25">
      <c r="A21" s="209" t="s">
        <v>9</v>
      </c>
      <c r="B21" s="845"/>
      <c r="C21" s="845"/>
      <c r="D21" s="845"/>
      <c r="E21" s="845"/>
    </row>
    <row r="22" spans="1:8" ht="30" customHeight="1" x14ac:dyDescent="0.25">
      <c r="A22" s="209" t="s">
        <v>465</v>
      </c>
      <c r="B22" s="846">
        <f>B16/(B20+B21)</f>
        <v>13.887813421828909</v>
      </c>
      <c r="C22" s="846"/>
      <c r="D22" s="846"/>
      <c r="E22" s="846"/>
    </row>
    <row r="23" spans="1:8" ht="30" customHeight="1" x14ac:dyDescent="0.25">
      <c r="A23" s="209" t="s">
        <v>466</v>
      </c>
      <c r="B23" s="847">
        <f>(B16-B17)/(B20+B21)</f>
        <v>3.0173764749262539</v>
      </c>
      <c r="C23" s="847"/>
      <c r="D23" s="847"/>
      <c r="E23" s="847"/>
    </row>
    <row r="24" spans="1:8" ht="30" customHeight="1" x14ac:dyDescent="0.25">
      <c r="A24" s="211" t="s">
        <v>476</v>
      </c>
      <c r="B24" s="901">
        <f>B18*I10/1000</f>
        <v>2.1153599999999999</v>
      </c>
      <c r="C24" s="901"/>
      <c r="D24" s="901"/>
      <c r="E24" s="901"/>
    </row>
    <row r="25" spans="1:8" ht="30" customHeight="1" x14ac:dyDescent="0.25">
      <c r="A25" s="212" t="s">
        <v>463</v>
      </c>
      <c r="B25" s="881">
        <f>B24/'Objectifs CO2'!C15</f>
        <v>1.5326531135054706E-3</v>
      </c>
      <c r="C25" s="881"/>
      <c r="D25" s="881"/>
      <c r="E25" s="881"/>
    </row>
    <row r="26" spans="1:8" ht="30" customHeight="1" x14ac:dyDescent="0.25">
      <c r="A26" s="213" t="s">
        <v>464</v>
      </c>
      <c r="B26" s="881">
        <f>B24/'Objectifs CO2'!C8</f>
        <v>3.0653062270109415E-4</v>
      </c>
      <c r="C26" s="881"/>
      <c r="D26" s="881"/>
      <c r="E26" s="881"/>
    </row>
    <row r="27" spans="1:8" ht="30" customHeight="1" x14ac:dyDescent="0.25">
      <c r="A27" s="213" t="s">
        <v>24</v>
      </c>
      <c r="B27" s="853"/>
      <c r="C27" s="853"/>
      <c r="D27" s="853"/>
      <c r="E27" s="853"/>
    </row>
    <row r="28" spans="1:8" ht="30" customHeight="1" x14ac:dyDescent="0.25">
      <c r="A28" s="213" t="s">
        <v>418</v>
      </c>
      <c r="B28" s="853"/>
      <c r="C28" s="853"/>
      <c r="D28" s="853"/>
      <c r="E28" s="853"/>
    </row>
  </sheetData>
  <mergeCells count="28">
    <mergeCell ref="A2:E2"/>
    <mergeCell ref="C5:D5"/>
    <mergeCell ref="B7:E7"/>
    <mergeCell ref="B8:E8"/>
    <mergeCell ref="B22:E22"/>
    <mergeCell ref="B10:E10"/>
    <mergeCell ref="B11:E11"/>
    <mergeCell ref="B12:E12"/>
    <mergeCell ref="B13:E13"/>
    <mergeCell ref="B14:E14"/>
    <mergeCell ref="B15:E15"/>
    <mergeCell ref="B16:E16"/>
    <mergeCell ref="B17:E17"/>
    <mergeCell ref="B18:E18"/>
    <mergeCell ref="B19:E19"/>
    <mergeCell ref="G4:I4"/>
    <mergeCell ref="G5:I5"/>
    <mergeCell ref="B23:E23"/>
    <mergeCell ref="B24:E24"/>
    <mergeCell ref="B28:E28"/>
    <mergeCell ref="B9:E9"/>
    <mergeCell ref="B25:E25"/>
    <mergeCell ref="B26:E26"/>
    <mergeCell ref="B27:E27"/>
    <mergeCell ref="B20:E20"/>
    <mergeCell ref="B21:E21"/>
    <mergeCell ref="G6:I6"/>
    <mergeCell ref="C4:D4"/>
  </mergeCells>
  <conditionalFormatting sqref="E5">
    <cfRule type="containsText" dxfId="170" priority="1" operator="containsText" text="Terminé">
      <formula>NOT(ISERROR(SEARCH("Terminé",E5)))</formula>
    </cfRule>
    <cfRule type="containsText" dxfId="169" priority="2" operator="containsText" text="En cours">
      <formula>NOT(ISERROR(SEARCH("En cours",E5)))</formula>
    </cfRule>
    <cfRule type="containsText" dxfId="168" priority="3" operator="containsText" text="A faire">
      <formula>NOT(ISERROR(SEARCH("A faire",E5)))</formula>
    </cfRule>
  </conditionalFormatting>
  <hyperlinks>
    <hyperlink ref="G4:I4" location="'Objectifs CO2'!A1" display="Lien vers Objectifs CO2"/>
    <hyperlink ref="G5:I5" location="'Synthèse CO2'!A1" display="Lien synthèse CO2"/>
    <hyperlink ref="G6" location="CALENDRIER!A1" display="Lien vers CALENDRIER"/>
  </hyperlinks>
  <pageMargins left="0.7" right="0.7" top="0.75" bottom="0.75" header="0.3" footer="0.3"/>
  <pageSetup paperSize="9" scale="84"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28"/>
  <sheetViews>
    <sheetView zoomScaleNormal="100" zoomScaleSheetLayoutView="160"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1" ht="21" x14ac:dyDescent="0.35">
      <c r="A1" s="11" t="s">
        <v>87</v>
      </c>
      <c r="B1" s="11"/>
      <c r="C1" s="11"/>
      <c r="D1" s="11"/>
      <c r="E1" s="11"/>
    </row>
    <row r="2" spans="1:11" ht="26.25" x14ac:dyDescent="0.4">
      <c r="A2" s="856" t="s">
        <v>913</v>
      </c>
      <c r="B2" s="856"/>
      <c r="C2" s="856"/>
      <c r="D2" s="856"/>
      <c r="E2" s="856"/>
    </row>
    <row r="3" spans="1:11" ht="27" thickBot="1" x14ac:dyDescent="0.45">
      <c r="A3" s="112"/>
      <c r="B3" s="112"/>
      <c r="C3" s="112"/>
      <c r="D3" s="112"/>
      <c r="E3" s="112"/>
    </row>
    <row r="4" spans="1:11" ht="15.75" thickBot="1" x14ac:dyDescent="0.3">
      <c r="A4" s="12"/>
      <c r="B4" s="233" t="s">
        <v>469</v>
      </c>
      <c r="C4" s="851" t="s">
        <v>40</v>
      </c>
      <c r="D4" s="852"/>
      <c r="E4" s="175" t="s">
        <v>166</v>
      </c>
      <c r="G4" s="848" t="s">
        <v>914</v>
      </c>
      <c r="H4" s="848"/>
      <c r="I4" s="848"/>
    </row>
    <row r="5" spans="1:11" ht="18.75" customHeight="1" x14ac:dyDescent="0.25">
      <c r="A5" s="381" t="s">
        <v>651</v>
      </c>
      <c r="B5" s="382" t="s">
        <v>652</v>
      </c>
      <c r="C5" s="820" t="s">
        <v>18</v>
      </c>
      <c r="D5" s="820"/>
      <c r="E5" s="232" t="s">
        <v>21</v>
      </c>
      <c r="G5" s="848" t="s">
        <v>915</v>
      </c>
      <c r="H5" s="848"/>
      <c r="I5" s="848"/>
    </row>
    <row r="6" spans="1:11" ht="16.5" thickBot="1" x14ac:dyDescent="0.3">
      <c r="A6" s="379" t="s">
        <v>660</v>
      </c>
      <c r="B6" s="380" t="s">
        <v>398</v>
      </c>
      <c r="C6" s="16"/>
      <c r="D6" s="16"/>
      <c r="E6" s="16"/>
      <c r="G6" s="850" t="s">
        <v>916</v>
      </c>
      <c r="H6" s="850"/>
      <c r="I6" s="850"/>
    </row>
    <row r="7" spans="1:11" ht="24" customHeight="1" thickBot="1" x14ac:dyDescent="0.3">
      <c r="A7" s="207" t="s">
        <v>1</v>
      </c>
      <c r="B7" s="820" t="s">
        <v>152</v>
      </c>
      <c r="C7" s="820"/>
      <c r="D7" s="820"/>
      <c r="E7" s="820"/>
    </row>
    <row r="8" spans="1:11" ht="24" customHeight="1" thickBot="1" x14ac:dyDescent="0.3">
      <c r="A8" s="207" t="s">
        <v>0</v>
      </c>
      <c r="B8" s="820" t="s">
        <v>153</v>
      </c>
      <c r="C8" s="820"/>
      <c r="D8" s="820"/>
      <c r="E8" s="820"/>
    </row>
    <row r="9" spans="1:11" ht="111" customHeight="1" x14ac:dyDescent="0.25">
      <c r="A9" s="208" t="s">
        <v>2</v>
      </c>
      <c r="B9" s="890" t="s">
        <v>763</v>
      </c>
      <c r="C9" s="890"/>
      <c r="D9" s="890"/>
      <c r="E9" s="890"/>
      <c r="G9" s="114" t="s">
        <v>154</v>
      </c>
      <c r="H9" s="115" t="s">
        <v>155</v>
      </c>
      <c r="I9" s="115"/>
      <c r="J9" s="115" t="s">
        <v>161</v>
      </c>
      <c r="K9" s="115" t="s">
        <v>455</v>
      </c>
    </row>
    <row r="10" spans="1:11" ht="54" customHeight="1" x14ac:dyDescent="0.25">
      <c r="A10" s="208" t="s">
        <v>31</v>
      </c>
      <c r="B10" s="889" t="s">
        <v>743</v>
      </c>
      <c r="C10" s="889"/>
      <c r="D10" s="889"/>
      <c r="E10" s="889"/>
      <c r="G10" s="114">
        <v>380000</v>
      </c>
      <c r="H10" s="115">
        <f>G10*10</f>
        <v>3800000</v>
      </c>
      <c r="I10" s="115"/>
      <c r="J10" s="115">
        <v>0.86</v>
      </c>
      <c r="K10" s="115">
        <v>0.26100000000000001</v>
      </c>
    </row>
    <row r="11" spans="1:11" ht="30" customHeight="1" x14ac:dyDescent="0.25">
      <c r="A11" s="209" t="s">
        <v>16</v>
      </c>
      <c r="B11" s="874" t="s">
        <v>86</v>
      </c>
      <c r="C11" s="874"/>
      <c r="D11" s="874"/>
      <c r="E11" s="874"/>
    </row>
    <row r="12" spans="1:11" ht="30" customHeight="1" x14ac:dyDescent="0.25">
      <c r="A12" s="209" t="s">
        <v>3</v>
      </c>
      <c r="B12" s="874"/>
      <c r="C12" s="874"/>
      <c r="D12" s="874"/>
      <c r="E12" s="874"/>
    </row>
    <row r="13" spans="1:11" ht="30" customHeight="1" x14ac:dyDescent="0.25">
      <c r="A13" s="209" t="s">
        <v>17</v>
      </c>
      <c r="B13" s="874"/>
      <c r="C13" s="874"/>
      <c r="D13" s="874"/>
      <c r="E13" s="874"/>
    </row>
    <row r="14" spans="1:11" ht="30" customHeight="1" x14ac:dyDescent="0.25">
      <c r="A14" s="209" t="s">
        <v>4</v>
      </c>
      <c r="B14" s="874">
        <v>2014</v>
      </c>
      <c r="C14" s="874"/>
      <c r="D14" s="874"/>
      <c r="E14" s="874"/>
    </row>
    <row r="15" spans="1:11" ht="30" customHeight="1" x14ac:dyDescent="0.25">
      <c r="A15" s="209" t="s">
        <v>5</v>
      </c>
      <c r="B15" s="874">
        <v>2017</v>
      </c>
      <c r="C15" s="874"/>
      <c r="D15" s="874"/>
      <c r="E15" s="874"/>
    </row>
    <row r="16" spans="1:11" ht="30" customHeight="1" x14ac:dyDescent="0.25">
      <c r="A16" s="209" t="s">
        <v>6</v>
      </c>
      <c r="B16" s="845">
        <v>1266000</v>
      </c>
      <c r="C16" s="845"/>
      <c r="D16" s="845"/>
      <c r="E16" s="845"/>
    </row>
    <row r="17" spans="1:8" ht="30" customHeight="1" x14ac:dyDescent="0.25">
      <c r="A17" s="209" t="s">
        <v>7</v>
      </c>
      <c r="B17" s="845">
        <v>500000</v>
      </c>
      <c r="C17" s="845"/>
      <c r="D17" s="845"/>
      <c r="E17" s="845"/>
    </row>
    <row r="18" spans="1:8" ht="30" customHeight="1" x14ac:dyDescent="0.25">
      <c r="A18" s="210" t="s">
        <v>468</v>
      </c>
      <c r="B18" s="868">
        <f>H10</f>
        <v>3800000</v>
      </c>
      <c r="C18" s="869"/>
      <c r="D18" s="869"/>
      <c r="E18" s="869"/>
      <c r="H18" s="2"/>
    </row>
    <row r="19" spans="1:8" ht="30" customHeight="1" x14ac:dyDescent="0.25">
      <c r="A19" s="238" t="s">
        <v>467</v>
      </c>
      <c r="B19" s="870">
        <f>H10</f>
        <v>3800000</v>
      </c>
      <c r="C19" s="871"/>
      <c r="D19" s="871"/>
      <c r="E19" s="871"/>
      <c r="H19" s="2"/>
    </row>
    <row r="20" spans="1:8" ht="30" customHeight="1" x14ac:dyDescent="0.25">
      <c r="A20" s="209" t="s">
        <v>8</v>
      </c>
      <c r="B20" s="845">
        <f>G10*J10</f>
        <v>326800</v>
      </c>
      <c r="C20" s="845"/>
      <c r="D20" s="845"/>
      <c r="E20" s="845"/>
    </row>
    <row r="21" spans="1:8" ht="30" customHeight="1" x14ac:dyDescent="0.25">
      <c r="A21" s="209" t="s">
        <v>9</v>
      </c>
      <c r="B21" s="845"/>
      <c r="C21" s="845"/>
      <c r="D21" s="845"/>
      <c r="E21" s="845"/>
    </row>
    <row r="22" spans="1:8" ht="30" customHeight="1" x14ac:dyDescent="0.25">
      <c r="A22" s="209" t="s">
        <v>465</v>
      </c>
      <c r="B22" s="846">
        <f>B16/(B20+B21)</f>
        <v>3.8739290085679317</v>
      </c>
      <c r="C22" s="846"/>
      <c r="D22" s="846"/>
      <c r="E22" s="846"/>
    </row>
    <row r="23" spans="1:8" ht="30" customHeight="1" x14ac:dyDescent="0.25">
      <c r="A23" s="209" t="s">
        <v>466</v>
      </c>
      <c r="B23" s="847">
        <f>(B16-B17)/(B20+B21)</f>
        <v>2.3439412484700122</v>
      </c>
      <c r="C23" s="847"/>
      <c r="D23" s="847"/>
      <c r="E23" s="847"/>
    </row>
    <row r="24" spans="1:8" ht="30" customHeight="1" x14ac:dyDescent="0.25">
      <c r="A24" s="211" t="s">
        <v>476</v>
      </c>
      <c r="B24" s="901">
        <f>B18*K10/1000</f>
        <v>991.8</v>
      </c>
      <c r="C24" s="901"/>
      <c r="D24" s="901"/>
      <c r="E24" s="901"/>
    </row>
    <row r="25" spans="1:8" ht="30" customHeight="1" x14ac:dyDescent="0.25">
      <c r="A25" s="212" t="s">
        <v>463</v>
      </c>
      <c r="B25" s="881">
        <f>B24/'Objectifs CO2'!C15</f>
        <v>0.71859416741109117</v>
      </c>
      <c r="C25" s="881"/>
      <c r="D25" s="881"/>
      <c r="E25" s="881"/>
    </row>
    <row r="26" spans="1:8" ht="30" customHeight="1" x14ac:dyDescent="0.25">
      <c r="A26" s="213" t="s">
        <v>464</v>
      </c>
      <c r="B26" s="881">
        <f>B24/'Objectifs CO2'!C8</f>
        <v>0.14371883348221823</v>
      </c>
      <c r="C26" s="881"/>
      <c r="D26" s="881"/>
      <c r="E26" s="881"/>
    </row>
    <row r="27" spans="1:8" ht="30" customHeight="1" x14ac:dyDescent="0.25">
      <c r="A27" s="213" t="s">
        <v>24</v>
      </c>
      <c r="B27" s="853"/>
      <c r="C27" s="853"/>
      <c r="D27" s="853"/>
      <c r="E27" s="853"/>
    </row>
    <row r="28" spans="1:8" ht="30" customHeight="1" x14ac:dyDescent="0.25">
      <c r="A28" s="213" t="s">
        <v>418</v>
      </c>
      <c r="B28" s="853"/>
      <c r="C28" s="853"/>
      <c r="D28" s="853"/>
      <c r="E28" s="853"/>
    </row>
  </sheetData>
  <mergeCells count="28">
    <mergeCell ref="A2:E2"/>
    <mergeCell ref="C5:D5"/>
    <mergeCell ref="B7:E7"/>
    <mergeCell ref="B8:E8"/>
    <mergeCell ref="B22:E22"/>
    <mergeCell ref="B10:E10"/>
    <mergeCell ref="B11:E11"/>
    <mergeCell ref="B12:E12"/>
    <mergeCell ref="B13:E13"/>
    <mergeCell ref="B14:E14"/>
    <mergeCell ref="B15:E15"/>
    <mergeCell ref="B16:E16"/>
    <mergeCell ref="B17:E17"/>
    <mergeCell ref="B18:E18"/>
    <mergeCell ref="B19:E19"/>
    <mergeCell ref="G4:I4"/>
    <mergeCell ref="G5:I5"/>
    <mergeCell ref="B23:E23"/>
    <mergeCell ref="B24:E24"/>
    <mergeCell ref="B28:E28"/>
    <mergeCell ref="B9:E9"/>
    <mergeCell ref="B25:E25"/>
    <mergeCell ref="B26:E26"/>
    <mergeCell ref="B27:E27"/>
    <mergeCell ref="B20:E20"/>
    <mergeCell ref="B21:E21"/>
    <mergeCell ref="G6:I6"/>
    <mergeCell ref="C4:D4"/>
  </mergeCells>
  <conditionalFormatting sqref="E5">
    <cfRule type="containsText" dxfId="167" priority="1" operator="containsText" text="Terminé">
      <formula>NOT(ISERROR(SEARCH("Terminé",E5)))</formula>
    </cfRule>
    <cfRule type="containsText" dxfId="166" priority="2" operator="containsText" text="En cours">
      <formula>NOT(ISERROR(SEARCH("En cours",E5)))</formula>
    </cfRule>
    <cfRule type="containsText" dxfId="165" priority="3" operator="containsText" text="A faire">
      <formula>NOT(ISERROR(SEARCH("A faire",E5)))</formula>
    </cfRule>
  </conditionalFormatting>
  <hyperlinks>
    <hyperlink ref="G4:I4" location="'Objectifs CO2'!A1" display="Lien vers Objectifs CO2"/>
    <hyperlink ref="G5:I5" location="'Synthèse CO2'!A1" display="Lien synthèse CO2"/>
    <hyperlink ref="G6" location="CALENDRIER!A1" display="Lien vers CALENDRIER"/>
  </hyperlinks>
  <pageMargins left="0.7" right="0.7" top="0.75" bottom="0.75" header="0.3" footer="0.3"/>
  <pageSetup paperSize="9" scale="86"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U112"/>
  <sheetViews>
    <sheetView topLeftCell="J60" zoomScale="205" zoomScaleNormal="205" zoomScaleSheetLayoutView="85" workbookViewId="0">
      <selection activeCell="Q71" sqref="Q71"/>
    </sheetView>
  </sheetViews>
  <sheetFormatPr baseColWidth="10" defaultRowHeight="15" x14ac:dyDescent="0.25"/>
  <cols>
    <col min="1" max="1" width="10.5703125" style="784" customWidth="1"/>
    <col min="2" max="2" width="10.140625" style="80" customWidth="1"/>
    <col min="3" max="3" width="20.28515625" style="80" customWidth="1"/>
    <col min="4" max="4" width="14.7109375" style="80" customWidth="1"/>
    <col min="5" max="5" width="12.85546875" style="80" bestFit="1" customWidth="1"/>
    <col min="6" max="6" width="12.85546875" style="80" customWidth="1"/>
    <col min="7" max="8" width="12.7109375" style="109" customWidth="1"/>
    <col min="9" max="9" width="12.5703125" style="109" bestFit="1" customWidth="1"/>
    <col min="10" max="10" width="12.42578125" style="109" customWidth="1"/>
    <col min="11" max="11" width="11.28515625" style="109" customWidth="1"/>
    <col min="12" max="12" width="11.7109375" style="80" bestFit="1" customWidth="1"/>
    <col min="13" max="13" width="13.28515625" style="80" customWidth="1"/>
    <col min="14" max="14" width="9.140625" style="80" customWidth="1"/>
    <col min="15" max="15" width="13.140625" style="80" customWidth="1"/>
    <col min="16" max="16" width="10" style="80" customWidth="1"/>
    <col min="17" max="17" width="17.42578125" style="80" customWidth="1"/>
    <col min="18" max="18" width="14.42578125" style="80" customWidth="1"/>
    <col min="19" max="20" width="11.5703125" style="80" bestFit="1" customWidth="1"/>
    <col min="21" max="21" width="12.42578125" style="80" bestFit="1" customWidth="1"/>
    <col min="22" max="24" width="11.5703125" style="80" bestFit="1" customWidth="1"/>
    <col min="25" max="71" width="11.42578125" style="80"/>
    <col min="72" max="72" width="18" style="80" customWidth="1"/>
    <col min="73" max="73" width="19" style="80" customWidth="1"/>
    <col min="74" max="16384" width="11.42578125" style="80"/>
  </cols>
  <sheetData>
    <row r="1" spans="1:73" ht="69.75" customHeight="1" x14ac:dyDescent="0.25">
      <c r="A1" s="260" t="s">
        <v>25</v>
      </c>
      <c r="B1" s="260" t="s">
        <v>1</v>
      </c>
      <c r="C1" s="260" t="s">
        <v>0</v>
      </c>
      <c r="D1" s="260" t="s">
        <v>26</v>
      </c>
      <c r="E1" s="260" t="s">
        <v>16</v>
      </c>
      <c r="F1" s="260" t="s">
        <v>782</v>
      </c>
      <c r="G1" s="261" t="s">
        <v>27</v>
      </c>
      <c r="H1" s="261" t="s">
        <v>783</v>
      </c>
      <c r="I1" s="261" t="s">
        <v>7</v>
      </c>
      <c r="J1" s="261" t="s">
        <v>8</v>
      </c>
      <c r="K1" s="261" t="s">
        <v>28</v>
      </c>
      <c r="L1" s="260" t="s">
        <v>560</v>
      </c>
      <c r="M1" s="260" t="s">
        <v>30</v>
      </c>
      <c r="N1" s="260" t="s">
        <v>562</v>
      </c>
      <c r="O1" s="262" t="s">
        <v>18</v>
      </c>
      <c r="P1" s="262" t="s">
        <v>5</v>
      </c>
      <c r="Q1" s="651" t="s">
        <v>919</v>
      </c>
      <c r="R1" s="263" t="s">
        <v>721</v>
      </c>
      <c r="S1" s="263" t="s">
        <v>617</v>
      </c>
      <c r="T1" s="263" t="s">
        <v>618</v>
      </c>
      <c r="U1" s="263" t="s">
        <v>619</v>
      </c>
      <c r="V1" s="263" t="s">
        <v>620</v>
      </c>
      <c r="W1" s="263" t="s">
        <v>621</v>
      </c>
      <c r="X1" s="263" t="s">
        <v>622</v>
      </c>
      <c r="Y1" s="264"/>
      <c r="Z1" s="263" t="s">
        <v>483</v>
      </c>
      <c r="AA1" s="263" t="s">
        <v>484</v>
      </c>
      <c r="AB1" s="263" t="s">
        <v>485</v>
      </c>
      <c r="AC1" s="263" t="s">
        <v>486</v>
      </c>
      <c r="AD1" s="263" t="s">
        <v>487</v>
      </c>
      <c r="AE1" s="263" t="s">
        <v>488</v>
      </c>
      <c r="AF1" s="263" t="s">
        <v>489</v>
      </c>
      <c r="AG1" s="264"/>
      <c r="AH1" s="263" t="s">
        <v>490</v>
      </c>
      <c r="AI1" s="263" t="s">
        <v>491</v>
      </c>
      <c r="AJ1" s="263" t="s">
        <v>492</v>
      </c>
      <c r="AK1" s="263" t="s">
        <v>493</v>
      </c>
      <c r="AL1" s="263" t="s">
        <v>494</v>
      </c>
      <c r="AM1" s="263" t="s">
        <v>495</v>
      </c>
      <c r="AN1" s="263" t="s">
        <v>496</v>
      </c>
      <c r="AO1" s="264"/>
      <c r="AP1" s="263" t="s">
        <v>497</v>
      </c>
      <c r="AQ1" s="263" t="s">
        <v>498</v>
      </c>
      <c r="AR1" s="263" t="s">
        <v>492</v>
      </c>
      <c r="AS1" s="263" t="s">
        <v>493</v>
      </c>
      <c r="AT1" s="263" t="s">
        <v>494</v>
      </c>
      <c r="AU1" s="263" t="s">
        <v>495</v>
      </c>
      <c r="AV1" s="263" t="s">
        <v>496</v>
      </c>
      <c r="AW1" s="264"/>
      <c r="AX1" s="263" t="s">
        <v>499</v>
      </c>
      <c r="AY1" s="263" t="s">
        <v>500</v>
      </c>
      <c r="AZ1" s="263" t="s">
        <v>501</v>
      </c>
      <c r="BA1" s="263" t="s">
        <v>502</v>
      </c>
      <c r="BB1" s="263" t="s">
        <v>503</v>
      </c>
      <c r="BC1" s="263" t="s">
        <v>504</v>
      </c>
      <c r="BD1" s="263" t="s">
        <v>505</v>
      </c>
      <c r="BE1" s="264"/>
      <c r="BF1" s="263" t="s">
        <v>506</v>
      </c>
      <c r="BG1" s="263" t="s">
        <v>507</v>
      </c>
      <c r="BH1" s="263" t="s">
        <v>508</v>
      </c>
      <c r="BI1" s="263" t="s">
        <v>509</v>
      </c>
      <c r="BJ1" s="263" t="s">
        <v>511</v>
      </c>
      <c r="BK1" s="263" t="s">
        <v>510</v>
      </c>
      <c r="BL1" s="264"/>
      <c r="BM1" s="263" t="s">
        <v>506</v>
      </c>
      <c r="BN1" s="263" t="s">
        <v>507</v>
      </c>
      <c r="BO1" s="263" t="s">
        <v>508</v>
      </c>
      <c r="BP1" s="263" t="s">
        <v>509</v>
      </c>
      <c r="BQ1" s="263" t="s">
        <v>511</v>
      </c>
      <c r="BR1" s="263" t="s">
        <v>510</v>
      </c>
      <c r="BS1" s="264"/>
      <c r="BT1" s="354" t="s">
        <v>673</v>
      </c>
      <c r="BU1" s="354" t="s">
        <v>674</v>
      </c>
    </row>
    <row r="2" spans="1:73" s="417" customFormat="1" x14ac:dyDescent="0.25">
      <c r="A2" s="768" t="s">
        <v>181</v>
      </c>
      <c r="B2" s="409" t="str">
        <f>'ADO-1'!$B$7</f>
        <v>PAED</v>
      </c>
      <c r="C2" s="409" t="str">
        <f>'ADO-1'!B8</f>
        <v>Engagement d'un Eco-passeur</v>
      </c>
      <c r="D2" s="409" t="str">
        <f>'ADO-1'!$C$4</f>
        <v>Territoire</v>
      </c>
      <c r="E2" s="409" t="str">
        <f>'ADO-1'!$B$11</f>
        <v>AC HABAY</v>
      </c>
      <c r="F2" s="409" t="str">
        <f>'ADO-1'!$B$5</f>
        <v>Fonds propres</v>
      </c>
      <c r="G2" s="410">
        <f>'ADO-1'!$B$16</f>
        <v>63000</v>
      </c>
      <c r="H2" s="409" t="str">
        <f>'ADO-1'!$B$6</f>
        <v>Subs RW</v>
      </c>
      <c r="I2" s="410">
        <f>'ADO-1'!$B$17</f>
        <v>0</v>
      </c>
      <c r="J2" s="410">
        <f>'ADO-1'!$B$20</f>
        <v>1</v>
      </c>
      <c r="K2" s="410">
        <f>'ADO-1'!$B$21</f>
        <v>0</v>
      </c>
      <c r="L2" s="411">
        <f>'ADO-1'!$B$23</f>
        <v>63000</v>
      </c>
      <c r="M2" s="412">
        <f>'ADO-1'!$B$24</f>
        <v>0</v>
      </c>
      <c r="N2" s="413">
        <f t="shared" ref="N2:N66" si="0">IF(G2=0,0,M2/(G2-I2)*1000)</f>
        <v>0</v>
      </c>
      <c r="O2" s="414" t="str">
        <f>'ADO-1'!$E$5</f>
        <v>Terminé</v>
      </c>
      <c r="P2" s="415">
        <f>'ADO-1'!$B$15</f>
        <v>2015</v>
      </c>
      <c r="Q2" s="652">
        <f>IF(O2="terminé", M2,"")</f>
        <v>0</v>
      </c>
      <c r="R2" s="416">
        <f t="shared" ref="R2:R36" si="1">IF((O2="Terminé")*AND(D2="Territoire"),M2,0)</f>
        <v>0</v>
      </c>
      <c r="S2" s="416">
        <f t="shared" ref="S2:S36" si="2">IF((O2="Terminé")*AND(D2="Agriculture"),M2,0)</f>
        <v>0</v>
      </c>
      <c r="T2" s="416">
        <f t="shared" ref="T2:T36" si="3">IF((O2="Terminé")*AND(D2="Industrie"), M2,0)</f>
        <v>0</v>
      </c>
      <c r="U2" s="416">
        <f t="shared" ref="U2:U36" si="4">IF((O2="Terminé")*AND(D2="Logement"),M2,0)</f>
        <v>0</v>
      </c>
      <c r="V2" s="416">
        <f t="shared" ref="V2:V36" si="5">IF((O2="Terminé")*AND(D2="Tertiaire"),M2,0)</f>
        <v>0</v>
      </c>
      <c r="W2" s="416">
        <f t="shared" ref="W2:W36" si="6">IF((O2="Terminé")*AND(D2="Transport"),M2,0)</f>
        <v>0</v>
      </c>
      <c r="X2" s="416">
        <f t="shared" ref="X2:X36" si="7">IF((O2="Terminé")*AND(D2="Communal"),M2,0)</f>
        <v>0</v>
      </c>
      <c r="Z2" s="418">
        <f t="shared" ref="Z2:Z36" si="8">IF((O2="Terminé")*AND(D2="Territoire"),G2,0)</f>
        <v>63000</v>
      </c>
      <c r="AA2" s="418">
        <f t="shared" ref="AA2:AA36" si="9">IF((O2="Terminé")*AND(D2="Agriculture"),G2,0)</f>
        <v>0</v>
      </c>
      <c r="AB2" s="418">
        <f t="shared" ref="AB2:AB36" si="10">IF((O2="Terminé")*AND(D2="Industrie"), G2,0)</f>
        <v>0</v>
      </c>
      <c r="AC2" s="418">
        <f t="shared" ref="AC2:AC36" si="11">IF((O2="Terminé")*AND(D2="Logement"), G2,0)</f>
        <v>0</v>
      </c>
      <c r="AD2" s="418">
        <f t="shared" ref="AD2:AD36" si="12">IF((O2="Terminé")*AND(D2="Tertiaire"),G2,0)</f>
        <v>0</v>
      </c>
      <c r="AE2" s="418">
        <f t="shared" ref="AE2:AE36" si="13">IF((O2="Terminé")*AND(D2="Transport"),G2,0)</f>
        <v>0</v>
      </c>
      <c r="AF2" s="418">
        <f t="shared" ref="AF2:AF36" si="14">IF((O2="Terminé")*AND(D2="Communal"),G2,0)</f>
        <v>0</v>
      </c>
      <c r="AH2" s="418">
        <f t="shared" ref="AH2:AH36" si="15">IF((O2="Terminé")*AND(D2="Territoire"),I2,0)</f>
        <v>0</v>
      </c>
      <c r="AI2" s="418">
        <f t="shared" ref="AI2:AI36" si="16">IF((O2="Terminé")*AND(D2="Agriculture"),I2,0)</f>
        <v>0</v>
      </c>
      <c r="AJ2" s="418">
        <f t="shared" ref="AJ2:AJ36" si="17">IF((O2="Terminé")*AND(D2="Industrie"), I2,0)</f>
        <v>0</v>
      </c>
      <c r="AK2" s="418">
        <f t="shared" ref="AK2:AK36" si="18">IF((O2="Terminé")*AND(D2="Logement"), I2,0)</f>
        <v>0</v>
      </c>
      <c r="AL2" s="418">
        <f t="shared" ref="AL2:AL36" si="19">IF((O2="Terminé")*AND(D2="Tertiaire"),I2,0)</f>
        <v>0</v>
      </c>
      <c r="AM2" s="418">
        <f t="shared" ref="AM2:AM36" si="20">IF((O2="Terminé")*AND(D2="Transport"),I2,0)</f>
        <v>0</v>
      </c>
      <c r="AN2" s="418">
        <f t="shared" ref="AN2:AN36" si="21">IF((O2="Terminé")*AND(D2="Communal"),I2,0)</f>
        <v>0</v>
      </c>
      <c r="AP2" s="418">
        <f t="shared" ref="AP2:AP36" si="22">IF((O2="Terminé")*AND(D2="Territoire"),J2,0)</f>
        <v>1</v>
      </c>
      <c r="AQ2" s="418">
        <f t="shared" ref="AQ2:AQ36" si="23">IF((O2="Terminé")*AND(D2="Agriculture"),J2,0)</f>
        <v>0</v>
      </c>
      <c r="AR2" s="418">
        <f t="shared" ref="AR2:AR36" si="24">IF((O2="Terminé")*AND(D2="Industrie"), J2,0)</f>
        <v>0</v>
      </c>
      <c r="AS2" s="418">
        <f t="shared" ref="AS2:AS36" si="25">IF((O2="Terminé")*AND(D2="Logement"), J2,0)</f>
        <v>0</v>
      </c>
      <c r="AT2" s="418">
        <f t="shared" ref="AT2:AT36" si="26">IF((O2="Terminé")*AND(D2="Tertiaire"),J2,0)</f>
        <v>0</v>
      </c>
      <c r="AU2" s="418">
        <f t="shared" ref="AU2:AU36" si="27">IF((O2="Terminé")*AND(D2="Transport"),J2,0)</f>
        <v>0</v>
      </c>
      <c r="AV2" s="418">
        <f t="shared" ref="AV2:AV36" si="28">IF((O2="Terminé")*AND(D2="Communal"),J2,0)</f>
        <v>0</v>
      </c>
      <c r="AX2" s="418">
        <f t="shared" ref="AX2:AX36" si="29">IF((O2="Terminé")*AND(D2="Territoire"),K2,0)</f>
        <v>0</v>
      </c>
      <c r="AY2" s="418">
        <f t="shared" ref="AY2:AY36" si="30">IF((O2="Terminé")*AND(D2="Agriculture"),K2,0)</f>
        <v>0</v>
      </c>
      <c r="AZ2" s="418">
        <f t="shared" ref="AZ2:AZ36" si="31">IF((O2="Terminé")*AND(D2="Industrie"), K2,0)</f>
        <v>0</v>
      </c>
      <c r="BA2" s="418">
        <f t="shared" ref="BA2:BA36" si="32">IF((O2="Terminé")*AND(D2="Logement"), K2,0)</f>
        <v>0</v>
      </c>
      <c r="BB2" s="418">
        <f t="shared" ref="BB2:BB36" si="33">IF((O2="Terminé")*AND(D2="Tertiaire"),K2,0)</f>
        <v>0</v>
      </c>
      <c r="BC2" s="418">
        <f t="shared" ref="BC2:BC36" si="34">IF((O2="Terminé")*AND(D2="Transport"),K2,0)</f>
        <v>0</v>
      </c>
      <c r="BD2" s="418">
        <f t="shared" ref="BD2:BD36" si="35">IF((O2="Terminé")*AND(D2="Communal"),K2,0)</f>
        <v>0</v>
      </c>
      <c r="BF2" s="418">
        <f t="shared" ref="BF2:BF36" si="36">IF((O2="Terminé")*AND(E2="Agriculture"),G2,0)</f>
        <v>0</v>
      </c>
      <c r="BG2" s="418">
        <f t="shared" ref="BG2:BG36" si="37">IF((O2="Terminé")*AND(E2="Industrie"),G2,0)</f>
        <v>0</v>
      </c>
      <c r="BH2" s="418">
        <f t="shared" ref="BH2:BH36" si="38">IF((O2="Terminé")*AND(E2="Citoyen"), G2,0)</f>
        <v>0</v>
      </c>
      <c r="BI2" s="418">
        <f t="shared" ref="BI2:BI36" si="39">IF((O2="Terminé")*AND(E2="IDELUX"), G2,0)</f>
        <v>0</v>
      </c>
      <c r="BJ2" s="418">
        <f t="shared" ref="BJ2:BJ36" si="40">IF((O2="Terminé")*AND(E2="AC HABAY"),G2,0)</f>
        <v>63000</v>
      </c>
      <c r="BK2" s="418">
        <f t="shared" ref="BK2:BK36" si="41">IF((O2="Terminé")*AND(E2="Tertiaire"),G2,0)</f>
        <v>0</v>
      </c>
      <c r="BM2" s="418">
        <f t="shared" ref="BM2:BM36" si="42">IF((O2="Terminé")*AND(E2="Agriculture"),I2,0)</f>
        <v>0</v>
      </c>
      <c r="BN2" s="418">
        <f t="shared" ref="BN2:BN36" si="43">IF((O2="Terminé")*AND(E2="Industrie"),I2,0)</f>
        <v>0</v>
      </c>
      <c r="BO2" s="418">
        <f t="shared" ref="BO2:BO36" si="44">IF((O2="Terminé")*AND(E2="Citoyen"), I2,0)</f>
        <v>0</v>
      </c>
      <c r="BP2" s="418">
        <f t="shared" ref="BP2:BP36" si="45">IF((O2="Terminé")*AND(E2="IDELUX"), I2,0)</f>
        <v>0</v>
      </c>
      <c r="BQ2" s="418">
        <f t="shared" ref="BQ2:BQ36" si="46">IF((O2="Terminé")*AND(E2="AC HABAY"),I2,0)</f>
        <v>0</v>
      </c>
      <c r="BR2" s="418">
        <f t="shared" ref="BR2:BR36" si="47">IF((O2="Terminé")*AND(E2="Tertiaire"),I2,0)</f>
        <v>0</v>
      </c>
      <c r="BT2" s="416">
        <f t="shared" ref="BT2:BT36" si="48">IF((O2="Terminé"),M2,0)</f>
        <v>0</v>
      </c>
      <c r="BU2" s="416">
        <f t="shared" ref="BU2:BU36" si="49">IF((O2="A faire"),M2,0)</f>
        <v>0</v>
      </c>
    </row>
    <row r="3" spans="1:73" s="417" customFormat="1" x14ac:dyDescent="0.25">
      <c r="A3" s="768" t="s">
        <v>182</v>
      </c>
      <c r="B3" s="409" t="str">
        <f>'ADO-2'!$B$7</f>
        <v>Formation et Information</v>
      </c>
      <c r="C3" s="409" t="str">
        <f>'ADO-2'!B8</f>
        <v>Information isolation des bâtiments</v>
      </c>
      <c r="D3" s="409" t="str">
        <f>'ADO-2'!$C$4</f>
        <v>Territoire</v>
      </c>
      <c r="E3" s="409" t="str">
        <f>'ADO-2'!$B$11</f>
        <v>AC HABAY</v>
      </c>
      <c r="F3" s="409" t="str">
        <f>'ADO-2'!$B$5</f>
        <v>Pas de financement</v>
      </c>
      <c r="G3" s="410">
        <f>'ADO-2'!$B$16</f>
        <v>0</v>
      </c>
      <c r="H3" s="409" t="str">
        <f>'ADO-2'!$B$6</f>
        <v>Pas de subside</v>
      </c>
      <c r="I3" s="410">
        <f>'ADO-2'!$B$17</f>
        <v>0</v>
      </c>
      <c r="J3" s="410">
        <f>'ADO-2'!$B$20</f>
        <v>1</v>
      </c>
      <c r="K3" s="410">
        <f>'ADO-2'!$B$21</f>
        <v>0</v>
      </c>
      <c r="L3" s="419">
        <f>'ADO-2'!$B$23</f>
        <v>0</v>
      </c>
      <c r="M3" s="412">
        <f>'ADO-2'!$B$24</f>
        <v>0</v>
      </c>
      <c r="N3" s="413">
        <f>IF(G3=0,0,M3/(G3-I3)*1000)</f>
        <v>0</v>
      </c>
      <c r="O3" s="414" t="str">
        <f>'ADO-2'!$E$5</f>
        <v>En cours</v>
      </c>
      <c r="P3" s="421">
        <f>'ADO-2'!$B$15</f>
        <v>2017</v>
      </c>
      <c r="Q3" s="652" t="str">
        <f t="shared" ref="Q3:Q85" si="50">IF(O3="terminé", M3,"")</f>
        <v/>
      </c>
      <c r="R3" s="416">
        <f t="shared" si="1"/>
        <v>0</v>
      </c>
      <c r="S3" s="416">
        <f t="shared" si="2"/>
        <v>0</v>
      </c>
      <c r="T3" s="416">
        <f t="shared" si="3"/>
        <v>0</v>
      </c>
      <c r="U3" s="416">
        <f t="shared" si="4"/>
        <v>0</v>
      </c>
      <c r="V3" s="416">
        <f t="shared" si="5"/>
        <v>0</v>
      </c>
      <c r="W3" s="416">
        <f t="shared" si="6"/>
        <v>0</v>
      </c>
      <c r="X3" s="416">
        <f t="shared" si="7"/>
        <v>0</v>
      </c>
      <c r="Z3" s="418">
        <f t="shared" si="8"/>
        <v>0</v>
      </c>
      <c r="AA3" s="418">
        <f t="shared" si="9"/>
        <v>0</v>
      </c>
      <c r="AB3" s="418">
        <f t="shared" si="10"/>
        <v>0</v>
      </c>
      <c r="AC3" s="418">
        <f t="shared" si="11"/>
        <v>0</v>
      </c>
      <c r="AD3" s="418">
        <f t="shared" si="12"/>
        <v>0</v>
      </c>
      <c r="AE3" s="418">
        <f t="shared" si="13"/>
        <v>0</v>
      </c>
      <c r="AF3" s="418">
        <f t="shared" si="14"/>
        <v>0</v>
      </c>
      <c r="AH3" s="418">
        <f t="shared" si="15"/>
        <v>0</v>
      </c>
      <c r="AI3" s="418">
        <f t="shared" si="16"/>
        <v>0</v>
      </c>
      <c r="AJ3" s="418">
        <f t="shared" si="17"/>
        <v>0</v>
      </c>
      <c r="AK3" s="418">
        <f t="shared" si="18"/>
        <v>0</v>
      </c>
      <c r="AL3" s="418">
        <f t="shared" si="19"/>
        <v>0</v>
      </c>
      <c r="AM3" s="418">
        <f t="shared" si="20"/>
        <v>0</v>
      </c>
      <c r="AN3" s="418">
        <f t="shared" si="21"/>
        <v>0</v>
      </c>
      <c r="AP3" s="418">
        <f t="shared" si="22"/>
        <v>0</v>
      </c>
      <c r="AQ3" s="418">
        <f t="shared" si="23"/>
        <v>0</v>
      </c>
      <c r="AR3" s="418">
        <f t="shared" si="24"/>
        <v>0</v>
      </c>
      <c r="AS3" s="418">
        <f t="shared" si="25"/>
        <v>0</v>
      </c>
      <c r="AT3" s="418">
        <f t="shared" si="26"/>
        <v>0</v>
      </c>
      <c r="AU3" s="418">
        <f t="shared" si="27"/>
        <v>0</v>
      </c>
      <c r="AV3" s="418">
        <f t="shared" si="28"/>
        <v>0</v>
      </c>
      <c r="AX3" s="418">
        <f t="shared" si="29"/>
        <v>0</v>
      </c>
      <c r="AY3" s="418">
        <f t="shared" si="30"/>
        <v>0</v>
      </c>
      <c r="AZ3" s="418">
        <f t="shared" si="31"/>
        <v>0</v>
      </c>
      <c r="BA3" s="418">
        <f t="shared" si="32"/>
        <v>0</v>
      </c>
      <c r="BB3" s="418">
        <f t="shared" si="33"/>
        <v>0</v>
      </c>
      <c r="BC3" s="418">
        <f t="shared" si="34"/>
        <v>0</v>
      </c>
      <c r="BD3" s="418">
        <f t="shared" si="35"/>
        <v>0</v>
      </c>
      <c r="BF3" s="418">
        <f t="shared" si="36"/>
        <v>0</v>
      </c>
      <c r="BG3" s="418">
        <f t="shared" si="37"/>
        <v>0</v>
      </c>
      <c r="BH3" s="418">
        <f t="shared" si="38"/>
        <v>0</v>
      </c>
      <c r="BI3" s="418">
        <f t="shared" si="39"/>
        <v>0</v>
      </c>
      <c r="BJ3" s="418">
        <f t="shared" si="40"/>
        <v>0</v>
      </c>
      <c r="BK3" s="418">
        <f t="shared" si="41"/>
        <v>0</v>
      </c>
      <c r="BM3" s="418">
        <f t="shared" si="42"/>
        <v>0</v>
      </c>
      <c r="BN3" s="418">
        <f t="shared" si="43"/>
        <v>0</v>
      </c>
      <c r="BO3" s="418">
        <f t="shared" si="44"/>
        <v>0</v>
      </c>
      <c r="BP3" s="418">
        <f t="shared" si="45"/>
        <v>0</v>
      </c>
      <c r="BQ3" s="418">
        <f t="shared" si="46"/>
        <v>0</v>
      </c>
      <c r="BR3" s="418">
        <f t="shared" si="47"/>
        <v>0</v>
      </c>
      <c r="BT3" s="416">
        <f t="shared" si="48"/>
        <v>0</v>
      </c>
      <c r="BU3" s="416">
        <f t="shared" si="49"/>
        <v>0</v>
      </c>
    </row>
    <row r="4" spans="1:73" s="417" customFormat="1" x14ac:dyDescent="0.25">
      <c r="A4" s="768" t="s">
        <v>183</v>
      </c>
      <c r="B4" s="409" t="str">
        <f>'ADO-3'!$B$7</f>
        <v>Formation et Information</v>
      </c>
      <c r="C4" s="409" t="str">
        <f>'ADO-3'!$B$8</f>
        <v>Formation Eco Guide - Energie</v>
      </c>
      <c r="D4" s="409" t="str">
        <f>'ADO-3'!$C$4</f>
        <v>Communal</v>
      </c>
      <c r="E4" s="409" t="str">
        <f>'ADO-3'!$B$11</f>
        <v>AC HABAY</v>
      </c>
      <c r="F4" s="409" t="str">
        <f>'ADO-3'!$B$5</f>
        <v>Fonds propres</v>
      </c>
      <c r="G4" s="410">
        <f>'ADO-3'!$B$16</f>
        <v>1000</v>
      </c>
      <c r="H4" s="409" t="str">
        <f>'ADO-3'!$B$6</f>
        <v>Pas de subside</v>
      </c>
      <c r="I4" s="410">
        <f>'ADO-3'!$B$17</f>
        <v>0</v>
      </c>
      <c r="J4" s="410">
        <f>'ADO-3'!$B$20</f>
        <v>1</v>
      </c>
      <c r="K4" s="410">
        <f>'ADO-3'!$B$21</f>
        <v>0</v>
      </c>
      <c r="L4" s="419">
        <f>'ADO-3'!$B$23</f>
        <v>1000</v>
      </c>
      <c r="M4" s="412">
        <f>'ADO-3'!$B$24</f>
        <v>0</v>
      </c>
      <c r="N4" s="413">
        <f t="shared" si="0"/>
        <v>0</v>
      </c>
      <c r="O4" s="414" t="str">
        <f>'ADO-3'!$E$5</f>
        <v>A faire</v>
      </c>
      <c r="P4" s="421">
        <f>'ADO-3'!$B$15</f>
        <v>2020</v>
      </c>
      <c r="Q4" s="652" t="str">
        <f t="shared" si="50"/>
        <v/>
      </c>
      <c r="R4" s="416">
        <f t="shared" si="1"/>
        <v>0</v>
      </c>
      <c r="S4" s="416">
        <f t="shared" si="2"/>
        <v>0</v>
      </c>
      <c r="T4" s="416">
        <f t="shared" si="3"/>
        <v>0</v>
      </c>
      <c r="U4" s="416">
        <f t="shared" si="4"/>
        <v>0</v>
      </c>
      <c r="V4" s="416">
        <f t="shared" si="5"/>
        <v>0</v>
      </c>
      <c r="W4" s="416">
        <f t="shared" si="6"/>
        <v>0</v>
      </c>
      <c r="X4" s="416">
        <f t="shared" si="7"/>
        <v>0</v>
      </c>
      <c r="Z4" s="418">
        <f t="shared" si="8"/>
        <v>0</v>
      </c>
      <c r="AA4" s="418">
        <f t="shared" si="9"/>
        <v>0</v>
      </c>
      <c r="AB4" s="418">
        <f t="shared" si="10"/>
        <v>0</v>
      </c>
      <c r="AC4" s="418">
        <f t="shared" si="11"/>
        <v>0</v>
      </c>
      <c r="AD4" s="418">
        <f t="shared" si="12"/>
        <v>0</v>
      </c>
      <c r="AE4" s="418">
        <f t="shared" si="13"/>
        <v>0</v>
      </c>
      <c r="AF4" s="418">
        <f t="shared" si="14"/>
        <v>0</v>
      </c>
      <c r="AH4" s="418">
        <f t="shared" si="15"/>
        <v>0</v>
      </c>
      <c r="AI4" s="418">
        <f t="shared" si="16"/>
        <v>0</v>
      </c>
      <c r="AJ4" s="418">
        <f t="shared" si="17"/>
        <v>0</v>
      </c>
      <c r="AK4" s="418">
        <f t="shared" si="18"/>
        <v>0</v>
      </c>
      <c r="AL4" s="418">
        <f t="shared" si="19"/>
        <v>0</v>
      </c>
      <c r="AM4" s="418">
        <f t="shared" si="20"/>
        <v>0</v>
      </c>
      <c r="AN4" s="418">
        <f t="shared" si="21"/>
        <v>0</v>
      </c>
      <c r="AP4" s="418">
        <f t="shared" si="22"/>
        <v>0</v>
      </c>
      <c r="AQ4" s="418">
        <f t="shared" si="23"/>
        <v>0</v>
      </c>
      <c r="AR4" s="418">
        <f t="shared" si="24"/>
        <v>0</v>
      </c>
      <c r="AS4" s="418">
        <f t="shared" si="25"/>
        <v>0</v>
      </c>
      <c r="AT4" s="418">
        <f t="shared" si="26"/>
        <v>0</v>
      </c>
      <c r="AU4" s="418">
        <f t="shared" si="27"/>
        <v>0</v>
      </c>
      <c r="AV4" s="418">
        <f t="shared" si="28"/>
        <v>0</v>
      </c>
      <c r="AX4" s="418">
        <f t="shared" si="29"/>
        <v>0</v>
      </c>
      <c r="AY4" s="418">
        <f t="shared" si="30"/>
        <v>0</v>
      </c>
      <c r="AZ4" s="418">
        <f t="shared" si="31"/>
        <v>0</v>
      </c>
      <c r="BA4" s="418">
        <f t="shared" si="32"/>
        <v>0</v>
      </c>
      <c r="BB4" s="418">
        <f t="shared" si="33"/>
        <v>0</v>
      </c>
      <c r="BC4" s="418">
        <f t="shared" si="34"/>
        <v>0</v>
      </c>
      <c r="BD4" s="418">
        <f t="shared" si="35"/>
        <v>0</v>
      </c>
      <c r="BF4" s="418">
        <f t="shared" si="36"/>
        <v>0</v>
      </c>
      <c r="BG4" s="418">
        <f t="shared" si="37"/>
        <v>0</v>
      </c>
      <c r="BH4" s="418">
        <f t="shared" si="38"/>
        <v>0</v>
      </c>
      <c r="BI4" s="418">
        <f t="shared" si="39"/>
        <v>0</v>
      </c>
      <c r="BJ4" s="418">
        <f t="shared" si="40"/>
        <v>0</v>
      </c>
      <c r="BK4" s="418">
        <f t="shared" si="41"/>
        <v>0</v>
      </c>
      <c r="BM4" s="418">
        <f t="shared" si="42"/>
        <v>0</v>
      </c>
      <c r="BN4" s="418">
        <f t="shared" si="43"/>
        <v>0</v>
      </c>
      <c r="BO4" s="418">
        <f t="shared" si="44"/>
        <v>0</v>
      </c>
      <c r="BP4" s="418">
        <f t="shared" si="45"/>
        <v>0</v>
      </c>
      <c r="BQ4" s="418">
        <f t="shared" si="46"/>
        <v>0</v>
      </c>
      <c r="BR4" s="418">
        <f t="shared" si="47"/>
        <v>0</v>
      </c>
      <c r="BT4" s="416">
        <f t="shared" si="48"/>
        <v>0</v>
      </c>
      <c r="BU4" s="416">
        <f t="shared" si="49"/>
        <v>0</v>
      </c>
    </row>
    <row r="5" spans="1:73" s="417" customFormat="1" x14ac:dyDescent="0.25">
      <c r="A5" s="768" t="s">
        <v>190</v>
      </c>
      <c r="B5" s="409" t="str">
        <f>'ADO-4'!$B$7</f>
        <v>PAED</v>
      </c>
      <c r="C5" s="409" t="str">
        <f>'ADO-4'!$B$8</f>
        <v>Création d'un comité de pilotage</v>
      </c>
      <c r="D5" s="409" t="str">
        <f>'ADO-4'!$C$4</f>
        <v>Territoire</v>
      </c>
      <c r="E5" s="409" t="str">
        <f>'ADO-4'!$B$11</f>
        <v>AC HABAY</v>
      </c>
      <c r="F5" s="409" t="str">
        <f>'ADO-4'!$B$5</f>
        <v>Fonds propres</v>
      </c>
      <c r="G5" s="410">
        <f>'ADO-4'!$B$16</f>
        <v>14000</v>
      </c>
      <c r="H5" s="409" t="str">
        <f>'ADO-4'!$B$6</f>
        <v>Pas de subside</v>
      </c>
      <c r="I5" s="410">
        <f>'ADO-4'!$B$17</f>
        <v>0</v>
      </c>
      <c r="J5" s="410">
        <f>'ADO-4'!$B$20</f>
        <v>1</v>
      </c>
      <c r="K5" s="410">
        <f>'ADO-4'!$B$21</f>
        <v>0</v>
      </c>
      <c r="L5" s="419">
        <f>'ADO-4'!$B$23</f>
        <v>14000</v>
      </c>
      <c r="M5" s="412">
        <f>'ADO-4'!$B$24</f>
        <v>0</v>
      </c>
      <c r="N5" s="413">
        <f t="shared" si="0"/>
        <v>0</v>
      </c>
      <c r="O5" s="414" t="str">
        <f>'ADO-4'!$E$5</f>
        <v>Terminé</v>
      </c>
      <c r="P5" s="421">
        <f>'ADO-4'!$B$15</f>
        <v>2014</v>
      </c>
      <c r="Q5" s="652">
        <f t="shared" si="50"/>
        <v>0</v>
      </c>
      <c r="R5" s="416">
        <f t="shared" si="1"/>
        <v>0</v>
      </c>
      <c r="S5" s="416">
        <f t="shared" si="2"/>
        <v>0</v>
      </c>
      <c r="T5" s="416">
        <f t="shared" si="3"/>
        <v>0</v>
      </c>
      <c r="U5" s="416">
        <f t="shared" si="4"/>
        <v>0</v>
      </c>
      <c r="V5" s="416">
        <f t="shared" si="5"/>
        <v>0</v>
      </c>
      <c r="W5" s="416">
        <f t="shared" si="6"/>
        <v>0</v>
      </c>
      <c r="X5" s="416">
        <f t="shared" si="7"/>
        <v>0</v>
      </c>
      <c r="Z5" s="418">
        <f t="shared" si="8"/>
        <v>14000</v>
      </c>
      <c r="AA5" s="418">
        <f t="shared" si="9"/>
        <v>0</v>
      </c>
      <c r="AB5" s="418">
        <f t="shared" si="10"/>
        <v>0</v>
      </c>
      <c r="AC5" s="418">
        <f t="shared" si="11"/>
        <v>0</v>
      </c>
      <c r="AD5" s="418">
        <f t="shared" si="12"/>
        <v>0</v>
      </c>
      <c r="AE5" s="418">
        <f t="shared" si="13"/>
        <v>0</v>
      </c>
      <c r="AF5" s="418">
        <f t="shared" si="14"/>
        <v>0</v>
      </c>
      <c r="AH5" s="418">
        <f t="shared" si="15"/>
        <v>0</v>
      </c>
      <c r="AI5" s="418">
        <f t="shared" si="16"/>
        <v>0</v>
      </c>
      <c r="AJ5" s="418">
        <f t="shared" si="17"/>
        <v>0</v>
      </c>
      <c r="AK5" s="418">
        <f t="shared" si="18"/>
        <v>0</v>
      </c>
      <c r="AL5" s="418">
        <f t="shared" si="19"/>
        <v>0</v>
      </c>
      <c r="AM5" s="418">
        <f t="shared" si="20"/>
        <v>0</v>
      </c>
      <c r="AN5" s="418">
        <f t="shared" si="21"/>
        <v>0</v>
      </c>
      <c r="AP5" s="418">
        <f t="shared" si="22"/>
        <v>1</v>
      </c>
      <c r="AQ5" s="418">
        <f t="shared" si="23"/>
        <v>0</v>
      </c>
      <c r="AR5" s="418">
        <f t="shared" si="24"/>
        <v>0</v>
      </c>
      <c r="AS5" s="418">
        <f t="shared" si="25"/>
        <v>0</v>
      </c>
      <c r="AT5" s="418">
        <f t="shared" si="26"/>
        <v>0</v>
      </c>
      <c r="AU5" s="418">
        <f t="shared" si="27"/>
        <v>0</v>
      </c>
      <c r="AV5" s="418">
        <f t="shared" si="28"/>
        <v>0</v>
      </c>
      <c r="AX5" s="418">
        <f t="shared" si="29"/>
        <v>0</v>
      </c>
      <c r="AY5" s="418">
        <f t="shared" si="30"/>
        <v>0</v>
      </c>
      <c r="AZ5" s="418">
        <f t="shared" si="31"/>
        <v>0</v>
      </c>
      <c r="BA5" s="418">
        <f t="shared" si="32"/>
        <v>0</v>
      </c>
      <c r="BB5" s="418">
        <f t="shared" si="33"/>
        <v>0</v>
      </c>
      <c r="BC5" s="418">
        <f t="shared" si="34"/>
        <v>0</v>
      </c>
      <c r="BD5" s="418">
        <f t="shared" si="35"/>
        <v>0</v>
      </c>
      <c r="BF5" s="418">
        <f t="shared" si="36"/>
        <v>0</v>
      </c>
      <c r="BG5" s="418">
        <f t="shared" si="37"/>
        <v>0</v>
      </c>
      <c r="BH5" s="418">
        <f t="shared" si="38"/>
        <v>0</v>
      </c>
      <c r="BI5" s="418">
        <f t="shared" si="39"/>
        <v>0</v>
      </c>
      <c r="BJ5" s="418">
        <f t="shared" si="40"/>
        <v>14000</v>
      </c>
      <c r="BK5" s="418">
        <f t="shared" si="41"/>
        <v>0</v>
      </c>
      <c r="BM5" s="418">
        <f t="shared" si="42"/>
        <v>0</v>
      </c>
      <c r="BN5" s="418">
        <f t="shared" si="43"/>
        <v>0</v>
      </c>
      <c r="BO5" s="418">
        <f t="shared" si="44"/>
        <v>0</v>
      </c>
      <c r="BP5" s="418">
        <f t="shared" si="45"/>
        <v>0</v>
      </c>
      <c r="BQ5" s="418">
        <f t="shared" si="46"/>
        <v>0</v>
      </c>
      <c r="BR5" s="418">
        <f t="shared" si="47"/>
        <v>0</v>
      </c>
      <c r="BT5" s="416">
        <f t="shared" si="48"/>
        <v>0</v>
      </c>
      <c r="BU5" s="416">
        <f t="shared" si="49"/>
        <v>0</v>
      </c>
    </row>
    <row r="6" spans="1:73" s="417" customFormat="1" x14ac:dyDescent="0.25">
      <c r="A6" s="768" t="s">
        <v>180</v>
      </c>
      <c r="B6" s="409" t="str">
        <f>'ADO-5'!$B$7</f>
        <v>Centrale d'achat</v>
      </c>
      <c r="C6" s="409" t="str">
        <f>'ADO-5'!$B$8</f>
        <v>Mise en place d'une centrale d'achat</v>
      </c>
      <c r="D6" s="409" t="str">
        <f>'ADO-5'!$C$4</f>
        <v>Territoire</v>
      </c>
      <c r="E6" s="409" t="str">
        <f>'ADO-5'!$B$11</f>
        <v>Citoyen</v>
      </c>
      <c r="F6" s="409" t="str">
        <f>'ADO-5'!$B$5</f>
        <v>Pas de financement</v>
      </c>
      <c r="G6" s="410">
        <f>'ADO-5'!$B$16</f>
        <v>0</v>
      </c>
      <c r="H6" s="409" t="str">
        <f>'ADO-5'!$B$6</f>
        <v>Pas de subside</v>
      </c>
      <c r="I6" s="410">
        <f>'ADO-5'!$B$17</f>
        <v>0</v>
      </c>
      <c r="J6" s="410">
        <f>'ADO-5'!$B$20</f>
        <v>1</v>
      </c>
      <c r="K6" s="410">
        <f>'ADO-5'!$B$21</f>
        <v>0</v>
      </c>
      <c r="L6" s="419">
        <f>'ADO-5'!$B$23</f>
        <v>0</v>
      </c>
      <c r="M6" s="412">
        <f>'ADO-5'!$B$24</f>
        <v>0</v>
      </c>
      <c r="N6" s="413">
        <f t="shared" si="0"/>
        <v>0</v>
      </c>
      <c r="O6" s="414" t="str">
        <f>'ADO-5'!$E$5</f>
        <v>Terminé</v>
      </c>
      <c r="P6" s="421">
        <f>'ADO-5'!$B$15</f>
        <v>2020</v>
      </c>
      <c r="Q6" s="652">
        <f t="shared" si="50"/>
        <v>0</v>
      </c>
      <c r="R6" s="416">
        <f t="shared" si="1"/>
        <v>0</v>
      </c>
      <c r="S6" s="416">
        <f t="shared" si="2"/>
        <v>0</v>
      </c>
      <c r="T6" s="416">
        <f t="shared" si="3"/>
        <v>0</v>
      </c>
      <c r="U6" s="416">
        <f t="shared" si="4"/>
        <v>0</v>
      </c>
      <c r="V6" s="416">
        <f t="shared" si="5"/>
        <v>0</v>
      </c>
      <c r="W6" s="416">
        <f t="shared" si="6"/>
        <v>0</v>
      </c>
      <c r="X6" s="416">
        <f t="shared" si="7"/>
        <v>0</v>
      </c>
      <c r="Z6" s="418">
        <f t="shared" si="8"/>
        <v>0</v>
      </c>
      <c r="AA6" s="418">
        <f t="shared" si="9"/>
        <v>0</v>
      </c>
      <c r="AB6" s="418">
        <f t="shared" si="10"/>
        <v>0</v>
      </c>
      <c r="AC6" s="418">
        <f t="shared" si="11"/>
        <v>0</v>
      </c>
      <c r="AD6" s="418">
        <f t="shared" si="12"/>
        <v>0</v>
      </c>
      <c r="AE6" s="418">
        <f t="shared" si="13"/>
        <v>0</v>
      </c>
      <c r="AF6" s="418">
        <f t="shared" si="14"/>
        <v>0</v>
      </c>
      <c r="AH6" s="418">
        <f t="shared" si="15"/>
        <v>0</v>
      </c>
      <c r="AI6" s="418">
        <f t="shared" si="16"/>
        <v>0</v>
      </c>
      <c r="AJ6" s="418">
        <f t="shared" si="17"/>
        <v>0</v>
      </c>
      <c r="AK6" s="418">
        <f t="shared" si="18"/>
        <v>0</v>
      </c>
      <c r="AL6" s="418">
        <f t="shared" si="19"/>
        <v>0</v>
      </c>
      <c r="AM6" s="418">
        <f t="shared" si="20"/>
        <v>0</v>
      </c>
      <c r="AN6" s="418">
        <f t="shared" si="21"/>
        <v>0</v>
      </c>
      <c r="AP6" s="418">
        <f t="shared" si="22"/>
        <v>1</v>
      </c>
      <c r="AQ6" s="418">
        <f t="shared" si="23"/>
        <v>0</v>
      </c>
      <c r="AR6" s="418">
        <f t="shared" si="24"/>
        <v>0</v>
      </c>
      <c r="AS6" s="418">
        <f t="shared" si="25"/>
        <v>0</v>
      </c>
      <c r="AT6" s="418">
        <f t="shared" si="26"/>
        <v>0</v>
      </c>
      <c r="AU6" s="418">
        <f t="shared" si="27"/>
        <v>0</v>
      </c>
      <c r="AV6" s="418">
        <f t="shared" si="28"/>
        <v>0</v>
      </c>
      <c r="AX6" s="418">
        <f t="shared" si="29"/>
        <v>0</v>
      </c>
      <c r="AY6" s="418">
        <f t="shared" si="30"/>
        <v>0</v>
      </c>
      <c r="AZ6" s="418">
        <f t="shared" si="31"/>
        <v>0</v>
      </c>
      <c r="BA6" s="418">
        <f t="shared" si="32"/>
        <v>0</v>
      </c>
      <c r="BB6" s="418">
        <f t="shared" si="33"/>
        <v>0</v>
      </c>
      <c r="BC6" s="418">
        <f t="shared" si="34"/>
        <v>0</v>
      </c>
      <c r="BD6" s="418">
        <f t="shared" si="35"/>
        <v>0</v>
      </c>
      <c r="BF6" s="418">
        <f t="shared" si="36"/>
        <v>0</v>
      </c>
      <c r="BG6" s="418">
        <f t="shared" si="37"/>
        <v>0</v>
      </c>
      <c r="BH6" s="418">
        <f t="shared" si="38"/>
        <v>0</v>
      </c>
      <c r="BI6" s="418">
        <f t="shared" si="39"/>
        <v>0</v>
      </c>
      <c r="BJ6" s="418">
        <f t="shared" si="40"/>
        <v>0</v>
      </c>
      <c r="BK6" s="418">
        <f t="shared" si="41"/>
        <v>0</v>
      </c>
      <c r="BM6" s="418">
        <f t="shared" si="42"/>
        <v>0</v>
      </c>
      <c r="BN6" s="418">
        <f t="shared" si="43"/>
        <v>0</v>
      </c>
      <c r="BO6" s="418">
        <f t="shared" si="44"/>
        <v>0</v>
      </c>
      <c r="BP6" s="418">
        <f t="shared" si="45"/>
        <v>0</v>
      </c>
      <c r="BQ6" s="418">
        <f t="shared" si="46"/>
        <v>0</v>
      </c>
      <c r="BR6" s="418">
        <f t="shared" si="47"/>
        <v>0</v>
      </c>
      <c r="BT6" s="416">
        <f t="shared" si="48"/>
        <v>0</v>
      </c>
      <c r="BU6" s="416">
        <f t="shared" si="49"/>
        <v>0</v>
      </c>
    </row>
    <row r="7" spans="1:73" s="477" customFormat="1" x14ac:dyDescent="0.25">
      <c r="A7" s="769" t="s">
        <v>308</v>
      </c>
      <c r="B7" s="468" t="str">
        <f>'ADO-6'!$B$7</f>
        <v>URE</v>
      </c>
      <c r="C7" s="468" t="str">
        <f>'ADO-6'!$B$8</f>
        <v>Sensibilisation du grand public aux URE - chaleur</v>
      </c>
      <c r="D7" s="468" t="str">
        <f>'ADO-6'!$C$4</f>
        <v>Logement</v>
      </c>
      <c r="E7" s="468" t="str">
        <f>'ADO-6'!$B$11</f>
        <v>Citoyen</v>
      </c>
      <c r="F7" s="468" t="str">
        <f>'ADO-6'!$B$5</f>
        <v>Pas de financement</v>
      </c>
      <c r="G7" s="469">
        <f>'ADO-6'!$B$16</f>
        <v>0</v>
      </c>
      <c r="H7" s="468" t="str">
        <f>'ADO-6'!$B$6</f>
        <v>Pas de subside</v>
      </c>
      <c r="I7" s="469">
        <f>'ADO-6'!$B$17</f>
        <v>0</v>
      </c>
      <c r="J7" s="469">
        <f>'ADO-6'!$B$20</f>
        <v>148595.72950210556</v>
      </c>
      <c r="K7" s="469">
        <f>'ADO-6'!$B$21</f>
        <v>0</v>
      </c>
      <c r="L7" s="470">
        <f>'ADO-6'!$B$23</f>
        <v>0</v>
      </c>
      <c r="M7" s="471">
        <f>'ADO-6'!$B$24</f>
        <v>408.08893732970034</v>
      </c>
      <c r="N7" s="472">
        <f t="shared" si="0"/>
        <v>0</v>
      </c>
      <c r="O7" s="473" t="str">
        <f>'ADO-6'!$E$5</f>
        <v>En cours</v>
      </c>
      <c r="P7" s="474">
        <f>'ADO-6'!$B$15</f>
        <v>2020</v>
      </c>
      <c r="Q7" s="539" t="str">
        <f t="shared" si="50"/>
        <v/>
      </c>
      <c r="R7" s="475">
        <f t="shared" si="1"/>
        <v>0</v>
      </c>
      <c r="S7" s="475">
        <f t="shared" si="2"/>
        <v>0</v>
      </c>
      <c r="T7" s="475">
        <f t="shared" si="3"/>
        <v>0</v>
      </c>
      <c r="U7" s="475">
        <f t="shared" si="4"/>
        <v>0</v>
      </c>
      <c r="V7" s="475">
        <f t="shared" si="5"/>
        <v>0</v>
      </c>
      <c r="W7" s="475">
        <f t="shared" si="6"/>
        <v>0</v>
      </c>
      <c r="X7" s="475">
        <f t="shared" si="7"/>
        <v>0</v>
      </c>
      <c r="Z7" s="478">
        <f t="shared" si="8"/>
        <v>0</v>
      </c>
      <c r="AA7" s="478">
        <f t="shared" si="9"/>
        <v>0</v>
      </c>
      <c r="AB7" s="478">
        <f t="shared" si="10"/>
        <v>0</v>
      </c>
      <c r="AC7" s="478">
        <f t="shared" si="11"/>
        <v>0</v>
      </c>
      <c r="AD7" s="478">
        <f t="shared" si="12"/>
        <v>0</v>
      </c>
      <c r="AE7" s="478">
        <f t="shared" si="13"/>
        <v>0</v>
      </c>
      <c r="AF7" s="478">
        <f t="shared" si="14"/>
        <v>0</v>
      </c>
      <c r="AH7" s="478">
        <f t="shared" si="15"/>
        <v>0</v>
      </c>
      <c r="AI7" s="478">
        <f t="shared" si="16"/>
        <v>0</v>
      </c>
      <c r="AJ7" s="478">
        <f t="shared" si="17"/>
        <v>0</v>
      </c>
      <c r="AK7" s="478">
        <f t="shared" si="18"/>
        <v>0</v>
      </c>
      <c r="AL7" s="478">
        <f t="shared" si="19"/>
        <v>0</v>
      </c>
      <c r="AM7" s="478">
        <f t="shared" si="20"/>
        <v>0</v>
      </c>
      <c r="AN7" s="478">
        <f t="shared" si="21"/>
        <v>0</v>
      </c>
      <c r="AP7" s="478">
        <f t="shared" si="22"/>
        <v>0</v>
      </c>
      <c r="AQ7" s="478">
        <f t="shared" si="23"/>
        <v>0</v>
      </c>
      <c r="AR7" s="478">
        <f t="shared" si="24"/>
        <v>0</v>
      </c>
      <c r="AS7" s="478">
        <f t="shared" si="25"/>
        <v>0</v>
      </c>
      <c r="AT7" s="478">
        <f t="shared" si="26"/>
        <v>0</v>
      </c>
      <c r="AU7" s="478">
        <f t="shared" si="27"/>
        <v>0</v>
      </c>
      <c r="AV7" s="478">
        <f t="shared" si="28"/>
        <v>0</v>
      </c>
      <c r="AX7" s="478">
        <f t="shared" si="29"/>
        <v>0</v>
      </c>
      <c r="AY7" s="478">
        <f t="shared" si="30"/>
        <v>0</v>
      </c>
      <c r="AZ7" s="478">
        <f t="shared" si="31"/>
        <v>0</v>
      </c>
      <c r="BA7" s="478">
        <f t="shared" si="32"/>
        <v>0</v>
      </c>
      <c r="BB7" s="478">
        <f t="shared" si="33"/>
        <v>0</v>
      </c>
      <c r="BC7" s="478">
        <f t="shared" si="34"/>
        <v>0</v>
      </c>
      <c r="BD7" s="478">
        <f t="shared" si="35"/>
        <v>0</v>
      </c>
      <c r="BF7" s="478">
        <f t="shared" si="36"/>
        <v>0</v>
      </c>
      <c r="BG7" s="478">
        <f t="shared" si="37"/>
        <v>0</v>
      </c>
      <c r="BH7" s="478">
        <f t="shared" si="38"/>
        <v>0</v>
      </c>
      <c r="BI7" s="478">
        <f t="shared" si="39"/>
        <v>0</v>
      </c>
      <c r="BJ7" s="478">
        <f t="shared" si="40"/>
        <v>0</v>
      </c>
      <c r="BK7" s="478">
        <f t="shared" si="41"/>
        <v>0</v>
      </c>
      <c r="BM7" s="478">
        <f t="shared" si="42"/>
        <v>0</v>
      </c>
      <c r="BN7" s="478">
        <f t="shared" si="43"/>
        <v>0</v>
      </c>
      <c r="BO7" s="478">
        <f t="shared" si="44"/>
        <v>0</v>
      </c>
      <c r="BP7" s="478">
        <f t="shared" si="45"/>
        <v>0</v>
      </c>
      <c r="BQ7" s="478">
        <f t="shared" si="46"/>
        <v>0</v>
      </c>
      <c r="BR7" s="478">
        <f t="shared" si="47"/>
        <v>0</v>
      </c>
      <c r="BT7" s="475">
        <f t="shared" si="48"/>
        <v>0</v>
      </c>
      <c r="BU7" s="475">
        <f t="shared" si="49"/>
        <v>0</v>
      </c>
    </row>
    <row r="8" spans="1:73" s="477" customFormat="1" x14ac:dyDescent="0.25">
      <c r="A8" s="769" t="s">
        <v>309</v>
      </c>
      <c r="B8" s="468" t="str">
        <f>'ADO-7'!$B$7</f>
        <v>URE</v>
      </c>
      <c r="C8" s="468" t="str">
        <f>'ADO-7'!$B$8</f>
        <v>Sensibilisation du grand public aux URE - électricité</v>
      </c>
      <c r="D8" s="468" t="str">
        <f>'ADO-7'!$C$4</f>
        <v>Logement</v>
      </c>
      <c r="E8" s="468" t="str">
        <f>'ADO-7'!$B$11</f>
        <v>Citoyen</v>
      </c>
      <c r="F8" s="468" t="str">
        <f>'ADO-7'!$B$5</f>
        <v>Pas de financement</v>
      </c>
      <c r="G8" s="469">
        <f>'ADO-7'!$B$16</f>
        <v>0</v>
      </c>
      <c r="H8" s="468" t="str">
        <f>'ADO-7'!$B$6</f>
        <v>Pas de subside</v>
      </c>
      <c r="I8" s="469">
        <f>'ADO-7'!$B$17</f>
        <v>0</v>
      </c>
      <c r="J8" s="469">
        <f>'ADO-6'!$B$20</f>
        <v>148595.72950210556</v>
      </c>
      <c r="K8" s="469">
        <f>'ADO-7'!$B$21</f>
        <v>0</v>
      </c>
      <c r="L8" s="470">
        <f>'ADO-7'!$B$23</f>
        <v>0</v>
      </c>
      <c r="M8" s="471">
        <f>'ADO-7'!$B$24</f>
        <v>51.231914788209068</v>
      </c>
      <c r="N8" s="472">
        <f t="shared" si="0"/>
        <v>0</v>
      </c>
      <c r="O8" s="473" t="str">
        <f>'ADO-7'!$E$5</f>
        <v>En cours</v>
      </c>
      <c r="P8" s="474">
        <f>'ADO-7'!$B$15</f>
        <v>2020</v>
      </c>
      <c r="Q8" s="539" t="str">
        <f t="shared" si="50"/>
        <v/>
      </c>
      <c r="R8" s="475">
        <f t="shared" si="1"/>
        <v>0</v>
      </c>
      <c r="S8" s="475">
        <f t="shared" si="2"/>
        <v>0</v>
      </c>
      <c r="T8" s="475">
        <f t="shared" si="3"/>
        <v>0</v>
      </c>
      <c r="U8" s="475">
        <f t="shared" si="4"/>
        <v>0</v>
      </c>
      <c r="V8" s="475">
        <f t="shared" si="5"/>
        <v>0</v>
      </c>
      <c r="W8" s="475">
        <f t="shared" si="6"/>
        <v>0</v>
      </c>
      <c r="X8" s="475">
        <f t="shared" si="7"/>
        <v>0</v>
      </c>
      <c r="Z8" s="478">
        <f t="shared" si="8"/>
        <v>0</v>
      </c>
      <c r="AA8" s="478">
        <f t="shared" si="9"/>
        <v>0</v>
      </c>
      <c r="AB8" s="478">
        <f t="shared" si="10"/>
        <v>0</v>
      </c>
      <c r="AC8" s="478">
        <f t="shared" si="11"/>
        <v>0</v>
      </c>
      <c r="AD8" s="478">
        <f t="shared" si="12"/>
        <v>0</v>
      </c>
      <c r="AE8" s="478">
        <f t="shared" si="13"/>
        <v>0</v>
      </c>
      <c r="AF8" s="478">
        <f t="shared" si="14"/>
        <v>0</v>
      </c>
      <c r="AH8" s="478">
        <f t="shared" si="15"/>
        <v>0</v>
      </c>
      <c r="AI8" s="478">
        <f t="shared" si="16"/>
        <v>0</v>
      </c>
      <c r="AJ8" s="478">
        <f t="shared" si="17"/>
        <v>0</v>
      </c>
      <c r="AK8" s="478">
        <f t="shared" si="18"/>
        <v>0</v>
      </c>
      <c r="AL8" s="478">
        <f t="shared" si="19"/>
        <v>0</v>
      </c>
      <c r="AM8" s="478">
        <f t="shared" si="20"/>
        <v>0</v>
      </c>
      <c r="AN8" s="478">
        <f t="shared" si="21"/>
        <v>0</v>
      </c>
      <c r="AP8" s="478">
        <f t="shared" si="22"/>
        <v>0</v>
      </c>
      <c r="AQ8" s="478">
        <f t="shared" si="23"/>
        <v>0</v>
      </c>
      <c r="AR8" s="478">
        <f t="shared" si="24"/>
        <v>0</v>
      </c>
      <c r="AS8" s="478">
        <f t="shared" si="25"/>
        <v>0</v>
      </c>
      <c r="AT8" s="478">
        <f t="shared" si="26"/>
        <v>0</v>
      </c>
      <c r="AU8" s="478">
        <f t="shared" si="27"/>
        <v>0</v>
      </c>
      <c r="AV8" s="478">
        <f t="shared" si="28"/>
        <v>0</v>
      </c>
      <c r="AX8" s="478">
        <f t="shared" si="29"/>
        <v>0</v>
      </c>
      <c r="AY8" s="478">
        <f t="shared" si="30"/>
        <v>0</v>
      </c>
      <c r="AZ8" s="478">
        <f t="shared" si="31"/>
        <v>0</v>
      </c>
      <c r="BA8" s="478">
        <f t="shared" si="32"/>
        <v>0</v>
      </c>
      <c r="BB8" s="478">
        <f t="shared" si="33"/>
        <v>0</v>
      </c>
      <c r="BC8" s="478">
        <f t="shared" si="34"/>
        <v>0</v>
      </c>
      <c r="BD8" s="478">
        <f t="shared" si="35"/>
        <v>0</v>
      </c>
      <c r="BF8" s="478">
        <f t="shared" si="36"/>
        <v>0</v>
      </c>
      <c r="BG8" s="478">
        <f t="shared" si="37"/>
        <v>0</v>
      </c>
      <c r="BH8" s="478">
        <f t="shared" si="38"/>
        <v>0</v>
      </c>
      <c r="BI8" s="478">
        <f t="shared" si="39"/>
        <v>0</v>
      </c>
      <c r="BJ8" s="478">
        <f t="shared" si="40"/>
        <v>0</v>
      </c>
      <c r="BK8" s="478">
        <f t="shared" si="41"/>
        <v>0</v>
      </c>
      <c r="BM8" s="478">
        <f t="shared" si="42"/>
        <v>0</v>
      </c>
      <c r="BN8" s="478">
        <f t="shared" si="43"/>
        <v>0</v>
      </c>
      <c r="BO8" s="478">
        <f t="shared" si="44"/>
        <v>0</v>
      </c>
      <c r="BP8" s="478">
        <f t="shared" si="45"/>
        <v>0</v>
      </c>
      <c r="BQ8" s="478">
        <f t="shared" si="46"/>
        <v>0</v>
      </c>
      <c r="BR8" s="478">
        <f t="shared" si="47"/>
        <v>0</v>
      </c>
      <c r="BT8" s="475">
        <f t="shared" si="48"/>
        <v>0</v>
      </c>
      <c r="BU8" s="475">
        <f t="shared" si="49"/>
        <v>0</v>
      </c>
    </row>
    <row r="9" spans="1:73" s="417" customFormat="1" x14ac:dyDescent="0.25">
      <c r="A9" s="768" t="s">
        <v>317</v>
      </c>
      <c r="B9" s="409" t="str">
        <f>'ADO-8'!$B$7</f>
        <v>Agriculteurs</v>
      </c>
      <c r="C9" s="409" t="str">
        <f>'ADO-8'!$B$8</f>
        <v>Informations spécifiques aux agriculteurs</v>
      </c>
      <c r="D9" s="409" t="str">
        <f>'ADO-8'!$C$4</f>
        <v>Agriculture</v>
      </c>
      <c r="E9" s="409" t="str">
        <f>'ADO-8'!$B$11</f>
        <v>AC HABAY</v>
      </c>
      <c r="F9" s="409" t="str">
        <f>'ADO-8'!$B$5</f>
        <v>Pas de financement</v>
      </c>
      <c r="G9" s="410">
        <f>'ADO-8'!$B$16</f>
        <v>0</v>
      </c>
      <c r="H9" s="409" t="str">
        <f>'ADO-8'!$B$6</f>
        <v>Pas de subside</v>
      </c>
      <c r="I9" s="410">
        <f>'ADO-8'!$B$17</f>
        <v>0</v>
      </c>
      <c r="J9" s="410">
        <f>'ADO-8'!$B$20</f>
        <v>1</v>
      </c>
      <c r="K9" s="410">
        <f>'ADO-8'!$B$21</f>
        <v>0</v>
      </c>
      <c r="L9" s="419">
        <f>'ADO-8'!$B$23</f>
        <v>0</v>
      </c>
      <c r="M9" s="412">
        <f>'ADO-8'!$B$24</f>
        <v>0</v>
      </c>
      <c r="N9" s="413">
        <f t="shared" si="0"/>
        <v>0</v>
      </c>
      <c r="O9" s="414" t="str">
        <f>'ADO-8'!$E$5</f>
        <v>A faire</v>
      </c>
      <c r="P9" s="421">
        <f>'ADO-8'!$B$15</f>
        <v>2020</v>
      </c>
      <c r="Q9" s="652" t="str">
        <f t="shared" si="50"/>
        <v/>
      </c>
      <c r="R9" s="416">
        <f t="shared" si="1"/>
        <v>0</v>
      </c>
      <c r="S9" s="416">
        <f t="shared" si="2"/>
        <v>0</v>
      </c>
      <c r="T9" s="416">
        <f t="shared" si="3"/>
        <v>0</v>
      </c>
      <c r="U9" s="416">
        <f t="shared" si="4"/>
        <v>0</v>
      </c>
      <c r="V9" s="416">
        <f t="shared" si="5"/>
        <v>0</v>
      </c>
      <c r="W9" s="416">
        <f t="shared" si="6"/>
        <v>0</v>
      </c>
      <c r="X9" s="416">
        <f t="shared" si="7"/>
        <v>0</v>
      </c>
      <c r="Z9" s="418">
        <f t="shared" si="8"/>
        <v>0</v>
      </c>
      <c r="AA9" s="418">
        <f t="shared" si="9"/>
        <v>0</v>
      </c>
      <c r="AB9" s="418">
        <f t="shared" si="10"/>
        <v>0</v>
      </c>
      <c r="AC9" s="418">
        <f t="shared" si="11"/>
        <v>0</v>
      </c>
      <c r="AD9" s="418">
        <f t="shared" si="12"/>
        <v>0</v>
      </c>
      <c r="AE9" s="418">
        <f t="shared" si="13"/>
        <v>0</v>
      </c>
      <c r="AF9" s="418">
        <f t="shared" si="14"/>
        <v>0</v>
      </c>
      <c r="AH9" s="418">
        <f t="shared" si="15"/>
        <v>0</v>
      </c>
      <c r="AI9" s="418">
        <f t="shared" si="16"/>
        <v>0</v>
      </c>
      <c r="AJ9" s="418">
        <f t="shared" si="17"/>
        <v>0</v>
      </c>
      <c r="AK9" s="418">
        <f t="shared" si="18"/>
        <v>0</v>
      </c>
      <c r="AL9" s="418">
        <f t="shared" si="19"/>
        <v>0</v>
      </c>
      <c r="AM9" s="418">
        <f t="shared" si="20"/>
        <v>0</v>
      </c>
      <c r="AN9" s="418">
        <f t="shared" si="21"/>
        <v>0</v>
      </c>
      <c r="AP9" s="418">
        <f t="shared" si="22"/>
        <v>0</v>
      </c>
      <c r="AQ9" s="418">
        <f t="shared" si="23"/>
        <v>0</v>
      </c>
      <c r="AR9" s="418">
        <f t="shared" si="24"/>
        <v>0</v>
      </c>
      <c r="AS9" s="418">
        <f t="shared" si="25"/>
        <v>0</v>
      </c>
      <c r="AT9" s="418">
        <f t="shared" si="26"/>
        <v>0</v>
      </c>
      <c r="AU9" s="418">
        <f t="shared" si="27"/>
        <v>0</v>
      </c>
      <c r="AV9" s="418">
        <f t="shared" si="28"/>
        <v>0</v>
      </c>
      <c r="AX9" s="418">
        <f t="shared" si="29"/>
        <v>0</v>
      </c>
      <c r="AY9" s="418">
        <f t="shared" si="30"/>
        <v>0</v>
      </c>
      <c r="AZ9" s="418">
        <f t="shared" si="31"/>
        <v>0</v>
      </c>
      <c r="BA9" s="418">
        <f t="shared" si="32"/>
        <v>0</v>
      </c>
      <c r="BB9" s="418">
        <f t="shared" si="33"/>
        <v>0</v>
      </c>
      <c r="BC9" s="418">
        <f t="shared" si="34"/>
        <v>0</v>
      </c>
      <c r="BD9" s="418">
        <f t="shared" si="35"/>
        <v>0</v>
      </c>
      <c r="BF9" s="418">
        <f t="shared" si="36"/>
        <v>0</v>
      </c>
      <c r="BG9" s="418">
        <f t="shared" si="37"/>
        <v>0</v>
      </c>
      <c r="BH9" s="418">
        <f t="shared" si="38"/>
        <v>0</v>
      </c>
      <c r="BI9" s="418">
        <f t="shared" si="39"/>
        <v>0</v>
      </c>
      <c r="BJ9" s="418">
        <f t="shared" si="40"/>
        <v>0</v>
      </c>
      <c r="BK9" s="418">
        <f t="shared" si="41"/>
        <v>0</v>
      </c>
      <c r="BM9" s="418">
        <f t="shared" si="42"/>
        <v>0</v>
      </c>
      <c r="BN9" s="418">
        <f t="shared" si="43"/>
        <v>0</v>
      </c>
      <c r="BO9" s="418">
        <f t="shared" si="44"/>
        <v>0</v>
      </c>
      <c r="BP9" s="418">
        <f t="shared" si="45"/>
        <v>0</v>
      </c>
      <c r="BQ9" s="418">
        <f t="shared" si="46"/>
        <v>0</v>
      </c>
      <c r="BR9" s="418">
        <f t="shared" si="47"/>
        <v>0</v>
      </c>
      <c r="BT9" s="416">
        <f t="shared" si="48"/>
        <v>0</v>
      </c>
      <c r="BU9" s="416">
        <f t="shared" si="49"/>
        <v>0</v>
      </c>
    </row>
    <row r="10" spans="1:73" s="417" customFormat="1" x14ac:dyDescent="0.25">
      <c r="A10" s="768" t="s">
        <v>316</v>
      </c>
      <c r="B10" s="409" t="str">
        <f>'ADO-9'!$B$7</f>
        <v>Entreprises tous secteurs</v>
      </c>
      <c r="C10" s="409" t="str">
        <f>'ADO-9'!$B$8</f>
        <v>Information aux entreprises</v>
      </c>
      <c r="D10" s="409" t="str">
        <f>'ADO-9'!$C$4</f>
        <v>Industrie</v>
      </c>
      <c r="E10" s="409" t="str">
        <f>'ADO-9'!$B$11</f>
        <v>AC HABAY</v>
      </c>
      <c r="F10" s="409" t="str">
        <f>'ADO-9'!$B$5</f>
        <v>Pas de financement</v>
      </c>
      <c r="G10" s="410">
        <f>'ADO-9'!$B$16</f>
        <v>0</v>
      </c>
      <c r="H10" s="409" t="str">
        <f>'ADO-9'!$B$6</f>
        <v>Pas de subside</v>
      </c>
      <c r="I10" s="410">
        <f>'ADO-9'!$B$17</f>
        <v>0</v>
      </c>
      <c r="J10" s="410">
        <f>'ADO-9'!$B$20</f>
        <v>1</v>
      </c>
      <c r="K10" s="410">
        <f>'ADO-9'!$B$21</f>
        <v>0</v>
      </c>
      <c r="L10" s="419">
        <f>'ADO-9'!$B$23</f>
        <v>0</v>
      </c>
      <c r="M10" s="412">
        <f>'ADO-9'!$B$24</f>
        <v>0</v>
      </c>
      <c r="N10" s="413">
        <f t="shared" si="0"/>
        <v>0</v>
      </c>
      <c r="O10" s="414" t="str">
        <f>'ADO-9'!$E$5</f>
        <v>En cours</v>
      </c>
      <c r="P10" s="421">
        <f>'ADO-9'!$B$15</f>
        <v>2020</v>
      </c>
      <c r="Q10" s="653" t="str">
        <f t="shared" si="50"/>
        <v/>
      </c>
      <c r="R10" s="416">
        <f t="shared" si="1"/>
        <v>0</v>
      </c>
      <c r="S10" s="416">
        <f t="shared" si="2"/>
        <v>0</v>
      </c>
      <c r="T10" s="416">
        <f t="shared" si="3"/>
        <v>0</v>
      </c>
      <c r="U10" s="416">
        <f t="shared" si="4"/>
        <v>0</v>
      </c>
      <c r="V10" s="416">
        <f t="shared" si="5"/>
        <v>0</v>
      </c>
      <c r="W10" s="416">
        <f t="shared" si="6"/>
        <v>0</v>
      </c>
      <c r="X10" s="416">
        <f t="shared" si="7"/>
        <v>0</v>
      </c>
      <c r="Z10" s="418">
        <f t="shared" si="8"/>
        <v>0</v>
      </c>
      <c r="AA10" s="418">
        <f t="shared" si="9"/>
        <v>0</v>
      </c>
      <c r="AB10" s="418">
        <f t="shared" si="10"/>
        <v>0</v>
      </c>
      <c r="AC10" s="418">
        <f t="shared" si="11"/>
        <v>0</v>
      </c>
      <c r="AD10" s="418">
        <f t="shared" si="12"/>
        <v>0</v>
      </c>
      <c r="AE10" s="418">
        <f t="shared" si="13"/>
        <v>0</v>
      </c>
      <c r="AF10" s="418">
        <f t="shared" si="14"/>
        <v>0</v>
      </c>
      <c r="AH10" s="418">
        <f t="shared" si="15"/>
        <v>0</v>
      </c>
      <c r="AI10" s="418">
        <f t="shared" si="16"/>
        <v>0</v>
      </c>
      <c r="AJ10" s="418">
        <f t="shared" si="17"/>
        <v>0</v>
      </c>
      <c r="AK10" s="418">
        <f t="shared" si="18"/>
        <v>0</v>
      </c>
      <c r="AL10" s="418">
        <f t="shared" si="19"/>
        <v>0</v>
      </c>
      <c r="AM10" s="418">
        <f t="shared" si="20"/>
        <v>0</v>
      </c>
      <c r="AN10" s="418">
        <f t="shared" si="21"/>
        <v>0</v>
      </c>
      <c r="AP10" s="418">
        <f t="shared" si="22"/>
        <v>0</v>
      </c>
      <c r="AQ10" s="418">
        <f t="shared" si="23"/>
        <v>0</v>
      </c>
      <c r="AR10" s="418">
        <f t="shared" si="24"/>
        <v>0</v>
      </c>
      <c r="AS10" s="418">
        <f t="shared" si="25"/>
        <v>0</v>
      </c>
      <c r="AT10" s="418">
        <f t="shared" si="26"/>
        <v>0</v>
      </c>
      <c r="AU10" s="418">
        <f t="shared" si="27"/>
        <v>0</v>
      </c>
      <c r="AV10" s="418">
        <f t="shared" si="28"/>
        <v>0</v>
      </c>
      <c r="AX10" s="418">
        <f t="shared" si="29"/>
        <v>0</v>
      </c>
      <c r="AY10" s="418">
        <f t="shared" si="30"/>
        <v>0</v>
      </c>
      <c r="AZ10" s="418">
        <f t="shared" si="31"/>
        <v>0</v>
      </c>
      <c r="BA10" s="418">
        <f t="shared" si="32"/>
        <v>0</v>
      </c>
      <c r="BB10" s="418">
        <f t="shared" si="33"/>
        <v>0</v>
      </c>
      <c r="BC10" s="418">
        <f t="shared" si="34"/>
        <v>0</v>
      </c>
      <c r="BD10" s="418">
        <f t="shared" si="35"/>
        <v>0</v>
      </c>
      <c r="BF10" s="418">
        <f t="shared" si="36"/>
        <v>0</v>
      </c>
      <c r="BG10" s="418">
        <f t="shared" si="37"/>
        <v>0</v>
      </c>
      <c r="BH10" s="418">
        <f t="shared" si="38"/>
        <v>0</v>
      </c>
      <c r="BI10" s="418">
        <f t="shared" si="39"/>
        <v>0</v>
      </c>
      <c r="BJ10" s="418">
        <f t="shared" si="40"/>
        <v>0</v>
      </c>
      <c r="BK10" s="418">
        <f t="shared" si="41"/>
        <v>0</v>
      </c>
      <c r="BM10" s="418">
        <f t="shared" si="42"/>
        <v>0</v>
      </c>
      <c r="BN10" s="418">
        <f t="shared" si="43"/>
        <v>0</v>
      </c>
      <c r="BO10" s="418">
        <f t="shared" si="44"/>
        <v>0</v>
      </c>
      <c r="BP10" s="418">
        <f t="shared" si="45"/>
        <v>0</v>
      </c>
      <c r="BQ10" s="418">
        <f t="shared" si="46"/>
        <v>0</v>
      </c>
      <c r="BR10" s="418">
        <f t="shared" si="47"/>
        <v>0</v>
      </c>
      <c r="BT10" s="416">
        <f t="shared" si="48"/>
        <v>0</v>
      </c>
      <c r="BU10" s="416">
        <f t="shared" si="49"/>
        <v>0</v>
      </c>
    </row>
    <row r="11" spans="1:73" s="417" customFormat="1" x14ac:dyDescent="0.25">
      <c r="A11" s="768" t="s">
        <v>315</v>
      </c>
      <c r="B11" s="409" t="str">
        <f>'ADO-10'!$B$7</f>
        <v>Tous publics</v>
      </c>
      <c r="C11" s="409" t="str">
        <f>'ADO-10'!$B$8</f>
        <v>Analyse thermographique</v>
      </c>
      <c r="D11" s="409" t="str">
        <f>'ADO-10'!$C$4</f>
        <v>Communal</v>
      </c>
      <c r="E11" s="409" t="str">
        <f>'ADO-10'!$B$11</f>
        <v>AC HABAY</v>
      </c>
      <c r="F11" s="409" t="str">
        <f>'ADO-10'!$B$5</f>
        <v>Fonds propres</v>
      </c>
      <c r="G11" s="410">
        <f>'ADO-10'!$B$16</f>
        <v>6000</v>
      </c>
      <c r="H11" s="409" t="str">
        <f>'ADO-10'!$B$6</f>
        <v>Pas de subside</v>
      </c>
      <c r="I11" s="410">
        <f>'ADO-10'!$B$17</f>
        <v>0</v>
      </c>
      <c r="J11" s="410">
        <f>'ADO-10'!$B$20</f>
        <v>1</v>
      </c>
      <c r="K11" s="410">
        <f>'ADO-10'!$B$21</f>
        <v>0</v>
      </c>
      <c r="L11" s="419">
        <f>'ADO-10'!$B$23</f>
        <v>6000</v>
      </c>
      <c r="M11" s="412">
        <f>'ADO-10'!$B$24</f>
        <v>0</v>
      </c>
      <c r="N11" s="413">
        <f t="shared" si="0"/>
        <v>0</v>
      </c>
      <c r="O11" s="414" t="str">
        <f>'ADO-10'!$E$5</f>
        <v>En cours</v>
      </c>
      <c r="P11" s="421">
        <f>'ADO-10'!$B$15</f>
        <v>2020</v>
      </c>
      <c r="Q11" s="653" t="str">
        <f t="shared" si="50"/>
        <v/>
      </c>
      <c r="R11" s="416">
        <f t="shared" si="1"/>
        <v>0</v>
      </c>
      <c r="S11" s="416">
        <f t="shared" si="2"/>
        <v>0</v>
      </c>
      <c r="T11" s="416">
        <f t="shared" si="3"/>
        <v>0</v>
      </c>
      <c r="U11" s="416">
        <f t="shared" si="4"/>
        <v>0</v>
      </c>
      <c r="V11" s="416">
        <f t="shared" si="5"/>
        <v>0</v>
      </c>
      <c r="W11" s="416">
        <f t="shared" si="6"/>
        <v>0</v>
      </c>
      <c r="X11" s="416">
        <f t="shared" si="7"/>
        <v>0</v>
      </c>
      <c r="Z11" s="418">
        <f t="shared" si="8"/>
        <v>0</v>
      </c>
      <c r="AA11" s="418">
        <f t="shared" si="9"/>
        <v>0</v>
      </c>
      <c r="AB11" s="418">
        <f t="shared" si="10"/>
        <v>0</v>
      </c>
      <c r="AC11" s="418">
        <f t="shared" si="11"/>
        <v>0</v>
      </c>
      <c r="AD11" s="418">
        <f t="shared" si="12"/>
        <v>0</v>
      </c>
      <c r="AE11" s="418">
        <f t="shared" si="13"/>
        <v>0</v>
      </c>
      <c r="AF11" s="418">
        <f t="shared" si="14"/>
        <v>0</v>
      </c>
      <c r="AH11" s="418">
        <f t="shared" si="15"/>
        <v>0</v>
      </c>
      <c r="AI11" s="418">
        <f t="shared" si="16"/>
        <v>0</v>
      </c>
      <c r="AJ11" s="418">
        <f t="shared" si="17"/>
        <v>0</v>
      </c>
      <c r="AK11" s="418">
        <f t="shared" si="18"/>
        <v>0</v>
      </c>
      <c r="AL11" s="418">
        <f t="shared" si="19"/>
        <v>0</v>
      </c>
      <c r="AM11" s="418">
        <f t="shared" si="20"/>
        <v>0</v>
      </c>
      <c r="AN11" s="418">
        <f t="shared" si="21"/>
        <v>0</v>
      </c>
      <c r="AP11" s="418">
        <f t="shared" si="22"/>
        <v>0</v>
      </c>
      <c r="AQ11" s="418">
        <f t="shared" si="23"/>
        <v>0</v>
      </c>
      <c r="AR11" s="418">
        <f t="shared" si="24"/>
        <v>0</v>
      </c>
      <c r="AS11" s="418">
        <f t="shared" si="25"/>
        <v>0</v>
      </c>
      <c r="AT11" s="418">
        <f t="shared" si="26"/>
        <v>0</v>
      </c>
      <c r="AU11" s="418">
        <f t="shared" si="27"/>
        <v>0</v>
      </c>
      <c r="AV11" s="418">
        <f t="shared" si="28"/>
        <v>0</v>
      </c>
      <c r="AX11" s="418">
        <f t="shared" si="29"/>
        <v>0</v>
      </c>
      <c r="AY11" s="418">
        <f t="shared" si="30"/>
        <v>0</v>
      </c>
      <c r="AZ11" s="418">
        <f t="shared" si="31"/>
        <v>0</v>
      </c>
      <c r="BA11" s="418">
        <f t="shared" si="32"/>
        <v>0</v>
      </c>
      <c r="BB11" s="418">
        <f t="shared" si="33"/>
        <v>0</v>
      </c>
      <c r="BC11" s="418">
        <f t="shared" si="34"/>
        <v>0</v>
      </c>
      <c r="BD11" s="418">
        <f t="shared" si="35"/>
        <v>0</v>
      </c>
      <c r="BF11" s="418">
        <f t="shared" si="36"/>
        <v>0</v>
      </c>
      <c r="BG11" s="418">
        <f t="shared" si="37"/>
        <v>0</v>
      </c>
      <c r="BH11" s="418">
        <f t="shared" si="38"/>
        <v>0</v>
      </c>
      <c r="BI11" s="418">
        <f t="shared" si="39"/>
        <v>0</v>
      </c>
      <c r="BJ11" s="418">
        <f t="shared" si="40"/>
        <v>0</v>
      </c>
      <c r="BK11" s="418">
        <f t="shared" si="41"/>
        <v>0</v>
      </c>
      <c r="BM11" s="418">
        <f t="shared" si="42"/>
        <v>0</v>
      </c>
      <c r="BN11" s="418">
        <f t="shared" si="43"/>
        <v>0</v>
      </c>
      <c r="BO11" s="418">
        <f t="shared" si="44"/>
        <v>0</v>
      </c>
      <c r="BP11" s="418">
        <f t="shared" si="45"/>
        <v>0</v>
      </c>
      <c r="BQ11" s="418">
        <f t="shared" si="46"/>
        <v>0</v>
      </c>
      <c r="BR11" s="418">
        <f t="shared" si="47"/>
        <v>0</v>
      </c>
      <c r="BT11" s="416">
        <f t="shared" si="48"/>
        <v>0</v>
      </c>
      <c r="BU11" s="416">
        <f t="shared" si="49"/>
        <v>0</v>
      </c>
    </row>
    <row r="12" spans="1:73" s="417" customFormat="1" x14ac:dyDescent="0.25">
      <c r="A12" s="768" t="s">
        <v>408</v>
      </c>
      <c r="B12" s="409" t="str">
        <f>'ADO-11'!$B$7</f>
        <v>PAED</v>
      </c>
      <c r="C12" s="409" t="str">
        <f>'ADO-11'!$B$8</f>
        <v>Engagement d'un responsable Energie et Urbanisme</v>
      </c>
      <c r="D12" s="409" t="str">
        <f>'ADO-11'!$C$4</f>
        <v>Territoire</v>
      </c>
      <c r="E12" s="409" t="str">
        <f>'ADO-11'!$B$11</f>
        <v>AC HABAY</v>
      </c>
      <c r="F12" s="409" t="str">
        <f>'ADO-11'!$B$5</f>
        <v>Fonds propres</v>
      </c>
      <c r="G12" s="410">
        <f>'ADO-11'!$B$16</f>
        <v>300000</v>
      </c>
      <c r="H12" s="409" t="str">
        <f>'ADO-11'!$B$6</f>
        <v>Pas de subside</v>
      </c>
      <c r="I12" s="410">
        <f>'ADO-11'!$B$17</f>
        <v>0</v>
      </c>
      <c r="J12" s="410">
        <f>'ADO-11'!$B$20</f>
        <v>1</v>
      </c>
      <c r="K12" s="410">
        <f>'ADO-11'!$B$21</f>
        <v>0</v>
      </c>
      <c r="L12" s="419">
        <f>'ADO-11'!$B$23</f>
        <v>300000</v>
      </c>
      <c r="M12" s="412">
        <f>'ADO-11'!$B$24</f>
        <v>0</v>
      </c>
      <c r="N12" s="413">
        <f t="shared" si="0"/>
        <v>0</v>
      </c>
      <c r="O12" s="414" t="str">
        <f>'ADO-11'!$E$5</f>
        <v>En cours</v>
      </c>
      <c r="P12" s="421">
        <f>'ADO-11'!$B$15</f>
        <v>2020</v>
      </c>
      <c r="Q12" s="652" t="str">
        <f t="shared" si="50"/>
        <v/>
      </c>
      <c r="R12" s="416">
        <f>IF((O12="Terminé")*OR(O12="En cours")*AND(D12="Territoire"),M12,0)</f>
        <v>0</v>
      </c>
      <c r="S12" s="416">
        <f t="shared" si="2"/>
        <v>0</v>
      </c>
      <c r="T12" s="416">
        <f t="shared" si="3"/>
        <v>0</v>
      </c>
      <c r="U12" s="416">
        <f t="shared" si="4"/>
        <v>0</v>
      </c>
      <c r="V12" s="416">
        <f t="shared" si="5"/>
        <v>0</v>
      </c>
      <c r="W12" s="416">
        <f t="shared" si="6"/>
        <v>0</v>
      </c>
      <c r="X12" s="416">
        <f t="shared" si="7"/>
        <v>0</v>
      </c>
      <c r="Z12" s="418">
        <f t="shared" si="8"/>
        <v>0</v>
      </c>
      <c r="AA12" s="418">
        <f t="shared" si="9"/>
        <v>0</v>
      </c>
      <c r="AB12" s="418">
        <f t="shared" si="10"/>
        <v>0</v>
      </c>
      <c r="AC12" s="418">
        <f t="shared" si="11"/>
        <v>0</v>
      </c>
      <c r="AD12" s="418">
        <f t="shared" si="12"/>
        <v>0</v>
      </c>
      <c r="AE12" s="418">
        <f t="shared" si="13"/>
        <v>0</v>
      </c>
      <c r="AF12" s="418">
        <f t="shared" si="14"/>
        <v>0</v>
      </c>
      <c r="AH12" s="418">
        <f t="shared" si="15"/>
        <v>0</v>
      </c>
      <c r="AI12" s="418">
        <f t="shared" si="16"/>
        <v>0</v>
      </c>
      <c r="AJ12" s="418">
        <f t="shared" si="17"/>
        <v>0</v>
      </c>
      <c r="AK12" s="418">
        <f t="shared" si="18"/>
        <v>0</v>
      </c>
      <c r="AL12" s="418">
        <f t="shared" si="19"/>
        <v>0</v>
      </c>
      <c r="AM12" s="418">
        <f t="shared" si="20"/>
        <v>0</v>
      </c>
      <c r="AN12" s="418">
        <f t="shared" si="21"/>
        <v>0</v>
      </c>
      <c r="AP12" s="418">
        <f t="shared" si="22"/>
        <v>0</v>
      </c>
      <c r="AQ12" s="418">
        <f t="shared" si="23"/>
        <v>0</v>
      </c>
      <c r="AR12" s="418">
        <f t="shared" si="24"/>
        <v>0</v>
      </c>
      <c r="AS12" s="418">
        <f t="shared" si="25"/>
        <v>0</v>
      </c>
      <c r="AT12" s="418">
        <f t="shared" si="26"/>
        <v>0</v>
      </c>
      <c r="AU12" s="418">
        <f t="shared" si="27"/>
        <v>0</v>
      </c>
      <c r="AV12" s="418">
        <f t="shared" si="28"/>
        <v>0</v>
      </c>
      <c r="AX12" s="418">
        <f t="shared" si="29"/>
        <v>0</v>
      </c>
      <c r="AY12" s="418">
        <f t="shared" si="30"/>
        <v>0</v>
      </c>
      <c r="AZ12" s="418">
        <f t="shared" si="31"/>
        <v>0</v>
      </c>
      <c r="BA12" s="418">
        <f t="shared" si="32"/>
        <v>0</v>
      </c>
      <c r="BB12" s="418">
        <f t="shared" si="33"/>
        <v>0</v>
      </c>
      <c r="BC12" s="418">
        <f t="shared" si="34"/>
        <v>0</v>
      </c>
      <c r="BD12" s="418">
        <f t="shared" si="35"/>
        <v>0</v>
      </c>
      <c r="BF12" s="418">
        <f t="shared" si="36"/>
        <v>0</v>
      </c>
      <c r="BG12" s="418">
        <f t="shared" si="37"/>
        <v>0</v>
      </c>
      <c r="BH12" s="418">
        <f t="shared" si="38"/>
        <v>0</v>
      </c>
      <c r="BI12" s="418">
        <f t="shared" si="39"/>
        <v>0</v>
      </c>
      <c r="BJ12" s="418">
        <f t="shared" si="40"/>
        <v>0</v>
      </c>
      <c r="BK12" s="418">
        <f t="shared" si="41"/>
        <v>0</v>
      </c>
      <c r="BM12" s="418">
        <f t="shared" si="42"/>
        <v>0</v>
      </c>
      <c r="BN12" s="418">
        <f t="shared" si="43"/>
        <v>0</v>
      </c>
      <c r="BO12" s="418">
        <f t="shared" si="44"/>
        <v>0</v>
      </c>
      <c r="BP12" s="418">
        <f t="shared" si="45"/>
        <v>0</v>
      </c>
      <c r="BQ12" s="418">
        <f t="shared" si="46"/>
        <v>0</v>
      </c>
      <c r="BR12" s="418">
        <f t="shared" si="47"/>
        <v>0</v>
      </c>
      <c r="BT12" s="416">
        <f t="shared" si="48"/>
        <v>0</v>
      </c>
      <c r="BU12" s="416">
        <f t="shared" si="49"/>
        <v>0</v>
      </c>
    </row>
    <row r="13" spans="1:73" s="417" customFormat="1" x14ac:dyDescent="0.25">
      <c r="A13" s="649" t="s">
        <v>679</v>
      </c>
      <c r="B13" s="409" t="str">
        <f>'ADO-12'!$B$7</f>
        <v>Personnel occupant les bâtiments communaux</v>
      </c>
      <c r="C13" s="409" t="str">
        <f>'ADO-12'!$B$8</f>
        <v>Sensibilisation aux économies d'énergie</v>
      </c>
      <c r="D13" s="409" t="str">
        <f>'ADO-12'!$C$4</f>
        <v>Territoire</v>
      </c>
      <c r="E13" s="409" t="str">
        <f>'ADO-12'!$B$11</f>
        <v>AC HABAY</v>
      </c>
      <c r="F13" s="409" t="str">
        <f>'ADO-12'!$B$5</f>
        <v>Pas de financement</v>
      </c>
      <c r="G13" s="410">
        <f>'ADO-12'!$B$16</f>
        <v>0</v>
      </c>
      <c r="H13" s="409" t="str">
        <f>'ADO-12'!$B$6</f>
        <v>Pas de subside</v>
      </c>
      <c r="I13" s="410">
        <f>'ADO-12'!$B$17</f>
        <v>0</v>
      </c>
      <c r="J13" s="410">
        <f>'ADO-12'!$B$20</f>
        <v>1</v>
      </c>
      <c r="K13" s="410">
        <f>'ADO-12'!$B$21</f>
        <v>0</v>
      </c>
      <c r="L13" s="419">
        <f>'ADO-12'!$B$23</f>
        <v>0</v>
      </c>
      <c r="M13" s="412">
        <f>'ADO-12'!$B$24</f>
        <v>0</v>
      </c>
      <c r="N13" s="413">
        <f t="shared" si="0"/>
        <v>0</v>
      </c>
      <c r="O13" s="414" t="str">
        <f>'ADO-12'!$E$5</f>
        <v>A faire</v>
      </c>
      <c r="P13" s="421">
        <f>'ADO-12'!$B$15</f>
        <v>2020</v>
      </c>
      <c r="Q13" s="652" t="str">
        <f t="shared" si="50"/>
        <v/>
      </c>
      <c r="R13" s="416">
        <f t="shared" ref="R13:R18" si="51">IF((O13="Terminé")*OR(O13="En cours")*AND(D13="Territoire"),M13,0)</f>
        <v>0</v>
      </c>
      <c r="S13" s="416">
        <f t="shared" si="2"/>
        <v>0</v>
      </c>
      <c r="T13" s="416">
        <f t="shared" si="3"/>
        <v>0</v>
      </c>
      <c r="U13" s="416">
        <f t="shared" si="4"/>
        <v>0</v>
      </c>
      <c r="V13" s="416">
        <f t="shared" si="5"/>
        <v>0</v>
      </c>
      <c r="W13" s="416">
        <f t="shared" si="6"/>
        <v>0</v>
      </c>
      <c r="X13" s="416">
        <f t="shared" si="7"/>
        <v>0</v>
      </c>
      <c r="Z13" s="418">
        <f t="shared" si="8"/>
        <v>0</v>
      </c>
      <c r="AA13" s="418">
        <f t="shared" si="9"/>
        <v>0</v>
      </c>
      <c r="AB13" s="418">
        <f t="shared" si="10"/>
        <v>0</v>
      </c>
      <c r="AC13" s="418">
        <f t="shared" si="11"/>
        <v>0</v>
      </c>
      <c r="AD13" s="418">
        <f t="shared" si="12"/>
        <v>0</v>
      </c>
      <c r="AE13" s="418">
        <f t="shared" si="13"/>
        <v>0</v>
      </c>
      <c r="AF13" s="418">
        <f t="shared" si="14"/>
        <v>0</v>
      </c>
      <c r="AH13" s="418">
        <f t="shared" si="15"/>
        <v>0</v>
      </c>
      <c r="AI13" s="418">
        <f t="shared" si="16"/>
        <v>0</v>
      </c>
      <c r="AJ13" s="418">
        <f t="shared" si="17"/>
        <v>0</v>
      </c>
      <c r="AK13" s="418">
        <f t="shared" si="18"/>
        <v>0</v>
      </c>
      <c r="AL13" s="418">
        <f t="shared" si="19"/>
        <v>0</v>
      </c>
      <c r="AM13" s="418">
        <f t="shared" si="20"/>
        <v>0</v>
      </c>
      <c r="AN13" s="418">
        <f t="shared" si="21"/>
        <v>0</v>
      </c>
      <c r="AP13" s="418">
        <f t="shared" si="22"/>
        <v>0</v>
      </c>
      <c r="AQ13" s="418">
        <f t="shared" si="23"/>
        <v>0</v>
      </c>
      <c r="AR13" s="418">
        <f t="shared" si="24"/>
        <v>0</v>
      </c>
      <c r="AS13" s="418">
        <f t="shared" si="25"/>
        <v>0</v>
      </c>
      <c r="AT13" s="418">
        <f t="shared" si="26"/>
        <v>0</v>
      </c>
      <c r="AU13" s="418">
        <f t="shared" si="27"/>
        <v>0</v>
      </c>
      <c r="AV13" s="418">
        <f t="shared" si="28"/>
        <v>0</v>
      </c>
      <c r="AX13" s="418">
        <f t="shared" si="29"/>
        <v>0</v>
      </c>
      <c r="AY13" s="418">
        <f t="shared" si="30"/>
        <v>0</v>
      </c>
      <c r="AZ13" s="418">
        <f t="shared" si="31"/>
        <v>0</v>
      </c>
      <c r="BA13" s="418">
        <f t="shared" si="32"/>
        <v>0</v>
      </c>
      <c r="BB13" s="418">
        <f t="shared" si="33"/>
        <v>0</v>
      </c>
      <c r="BC13" s="418">
        <f t="shared" si="34"/>
        <v>0</v>
      </c>
      <c r="BD13" s="418">
        <f t="shared" si="35"/>
        <v>0</v>
      </c>
      <c r="BF13" s="418">
        <f t="shared" si="36"/>
        <v>0</v>
      </c>
      <c r="BG13" s="418">
        <f t="shared" si="37"/>
        <v>0</v>
      </c>
      <c r="BH13" s="418">
        <f t="shared" si="38"/>
        <v>0</v>
      </c>
      <c r="BI13" s="418">
        <f t="shared" si="39"/>
        <v>0</v>
      </c>
      <c r="BJ13" s="418">
        <f t="shared" si="40"/>
        <v>0</v>
      </c>
      <c r="BK13" s="418">
        <f t="shared" si="41"/>
        <v>0</v>
      </c>
      <c r="BM13" s="418">
        <f t="shared" si="42"/>
        <v>0</v>
      </c>
      <c r="BN13" s="418">
        <f t="shared" si="43"/>
        <v>0</v>
      </c>
      <c r="BO13" s="418">
        <f t="shared" si="44"/>
        <v>0</v>
      </c>
      <c r="BP13" s="418">
        <f t="shared" si="45"/>
        <v>0</v>
      </c>
      <c r="BQ13" s="418">
        <f t="shared" si="46"/>
        <v>0</v>
      </c>
      <c r="BR13" s="418">
        <f t="shared" si="47"/>
        <v>0</v>
      </c>
      <c r="BT13" s="416">
        <f t="shared" si="48"/>
        <v>0</v>
      </c>
      <c r="BU13" s="416">
        <f t="shared" si="49"/>
        <v>0</v>
      </c>
    </row>
    <row r="14" spans="1:73" s="417" customFormat="1" x14ac:dyDescent="0.25">
      <c r="A14" s="649" t="s">
        <v>682</v>
      </c>
      <c r="B14" s="409" t="str">
        <f>'ADO-13'!$B$7</f>
        <v>Ecoles</v>
      </c>
      <c r="C14" s="409" t="str">
        <f>'ADO-13'!$B$8</f>
        <v>Sensibilisation des écoles</v>
      </c>
      <c r="D14" s="409" t="str">
        <f>'ADO-13'!$C$4</f>
        <v>Communal</v>
      </c>
      <c r="E14" s="409" t="str">
        <f>'ADO-13'!$B$11</f>
        <v>AC HABAY</v>
      </c>
      <c r="F14" s="409" t="str">
        <f>'ADO-13'!$B$5</f>
        <v>Fonds propres</v>
      </c>
      <c r="G14" s="410">
        <f>'ADO-13'!$B$16</f>
        <v>2000</v>
      </c>
      <c r="H14" s="409" t="str">
        <f>'ADO-13'!$B$6</f>
        <v>Pas de subside</v>
      </c>
      <c r="I14" s="410">
        <f>'ADO-13'!$B$17</f>
        <v>0</v>
      </c>
      <c r="J14" s="410">
        <f>'ADO-13'!$B$20</f>
        <v>1</v>
      </c>
      <c r="K14" s="410">
        <f>'ADO-13'!$B$21</f>
        <v>0</v>
      </c>
      <c r="L14" s="419">
        <f>'ADO-13'!$B$23</f>
        <v>2000</v>
      </c>
      <c r="M14" s="412">
        <f>'ADO-13'!$B$24</f>
        <v>18.899999999999999</v>
      </c>
      <c r="N14" s="413">
        <f t="shared" si="0"/>
        <v>9.4499999999999993</v>
      </c>
      <c r="O14" s="414" t="str">
        <f>'ADO-13'!$E$5</f>
        <v>En cours</v>
      </c>
      <c r="P14" s="421">
        <f>'ADO-13'!$B$15</f>
        <v>2020</v>
      </c>
      <c r="Q14" s="652" t="str">
        <f t="shared" si="50"/>
        <v/>
      </c>
      <c r="R14" s="416">
        <f t="shared" si="51"/>
        <v>0</v>
      </c>
      <c r="S14" s="416">
        <f t="shared" si="2"/>
        <v>0</v>
      </c>
      <c r="T14" s="416">
        <f t="shared" si="3"/>
        <v>0</v>
      </c>
      <c r="U14" s="416">
        <f t="shared" si="4"/>
        <v>0</v>
      </c>
      <c r="V14" s="416">
        <f t="shared" si="5"/>
        <v>0</v>
      </c>
      <c r="W14" s="416">
        <f t="shared" si="6"/>
        <v>0</v>
      </c>
      <c r="X14" s="416">
        <f t="shared" si="7"/>
        <v>0</v>
      </c>
      <c r="Z14" s="418">
        <f t="shared" si="8"/>
        <v>0</v>
      </c>
      <c r="AA14" s="418">
        <f t="shared" si="9"/>
        <v>0</v>
      </c>
      <c r="AB14" s="418">
        <f t="shared" si="10"/>
        <v>0</v>
      </c>
      <c r="AC14" s="418">
        <f t="shared" si="11"/>
        <v>0</v>
      </c>
      <c r="AD14" s="418">
        <f t="shared" si="12"/>
        <v>0</v>
      </c>
      <c r="AE14" s="418">
        <f t="shared" si="13"/>
        <v>0</v>
      </c>
      <c r="AF14" s="418">
        <f t="shared" si="14"/>
        <v>0</v>
      </c>
      <c r="AH14" s="418">
        <f t="shared" si="15"/>
        <v>0</v>
      </c>
      <c r="AI14" s="418">
        <f t="shared" si="16"/>
        <v>0</v>
      </c>
      <c r="AJ14" s="418">
        <f t="shared" si="17"/>
        <v>0</v>
      </c>
      <c r="AK14" s="418">
        <f t="shared" si="18"/>
        <v>0</v>
      </c>
      <c r="AL14" s="418">
        <f t="shared" si="19"/>
        <v>0</v>
      </c>
      <c r="AM14" s="418">
        <f t="shared" si="20"/>
        <v>0</v>
      </c>
      <c r="AN14" s="418">
        <f t="shared" si="21"/>
        <v>0</v>
      </c>
      <c r="AP14" s="418">
        <f t="shared" si="22"/>
        <v>0</v>
      </c>
      <c r="AQ14" s="418">
        <f t="shared" si="23"/>
        <v>0</v>
      </c>
      <c r="AR14" s="418">
        <f t="shared" si="24"/>
        <v>0</v>
      </c>
      <c r="AS14" s="418">
        <f t="shared" si="25"/>
        <v>0</v>
      </c>
      <c r="AT14" s="418">
        <f t="shared" si="26"/>
        <v>0</v>
      </c>
      <c r="AU14" s="418">
        <f t="shared" si="27"/>
        <v>0</v>
      </c>
      <c r="AV14" s="418">
        <f t="shared" si="28"/>
        <v>0</v>
      </c>
      <c r="AX14" s="418">
        <f t="shared" si="29"/>
        <v>0</v>
      </c>
      <c r="AY14" s="418">
        <f t="shared" si="30"/>
        <v>0</v>
      </c>
      <c r="AZ14" s="418">
        <f t="shared" si="31"/>
        <v>0</v>
      </c>
      <c r="BA14" s="418">
        <f t="shared" si="32"/>
        <v>0</v>
      </c>
      <c r="BB14" s="418">
        <f t="shared" si="33"/>
        <v>0</v>
      </c>
      <c r="BC14" s="418">
        <f t="shared" si="34"/>
        <v>0</v>
      </c>
      <c r="BD14" s="418">
        <f t="shared" si="35"/>
        <v>0</v>
      </c>
      <c r="BF14" s="418">
        <f t="shared" si="36"/>
        <v>0</v>
      </c>
      <c r="BG14" s="418">
        <f t="shared" si="37"/>
        <v>0</v>
      </c>
      <c r="BH14" s="418">
        <f t="shared" si="38"/>
        <v>0</v>
      </c>
      <c r="BI14" s="418">
        <f t="shared" si="39"/>
        <v>0</v>
      </c>
      <c r="BJ14" s="418">
        <f t="shared" si="40"/>
        <v>0</v>
      </c>
      <c r="BK14" s="418">
        <f t="shared" si="41"/>
        <v>0</v>
      </c>
      <c r="BM14" s="418">
        <f t="shared" si="42"/>
        <v>0</v>
      </c>
      <c r="BN14" s="418">
        <f t="shared" si="43"/>
        <v>0</v>
      </c>
      <c r="BO14" s="418">
        <f t="shared" si="44"/>
        <v>0</v>
      </c>
      <c r="BP14" s="418">
        <f t="shared" si="45"/>
        <v>0</v>
      </c>
      <c r="BQ14" s="418">
        <f t="shared" si="46"/>
        <v>0</v>
      </c>
      <c r="BR14" s="418">
        <f t="shared" si="47"/>
        <v>0</v>
      </c>
      <c r="BT14" s="416">
        <f t="shared" si="48"/>
        <v>0</v>
      </c>
      <c r="BU14" s="416">
        <f t="shared" si="49"/>
        <v>0</v>
      </c>
    </row>
    <row r="15" spans="1:73" s="417" customFormat="1" x14ac:dyDescent="0.25">
      <c r="A15" s="649" t="s">
        <v>684</v>
      </c>
      <c r="B15" s="409" t="str">
        <f>'ADO-14'!$B$7</f>
        <v>Bâtiments communaux</v>
      </c>
      <c r="C15" s="409" t="str">
        <f>'ADO-14'!$B$8</f>
        <v>Chasse aux gaspis - chaleur</v>
      </c>
      <c r="D15" s="409" t="str">
        <f>'ADO-14'!$C$4</f>
        <v>Communal</v>
      </c>
      <c r="E15" s="409" t="str">
        <f>'ADO-14'!$B$11</f>
        <v>AC HABAY</v>
      </c>
      <c r="F15" s="409" t="str">
        <f>'ADO-14'!$B$5</f>
        <v>Fonds propres</v>
      </c>
      <c r="G15" s="410">
        <f>'ADO-14'!$B$16</f>
        <v>2000</v>
      </c>
      <c r="H15" s="409" t="str">
        <f>'ADO-14'!$B$6</f>
        <v>Pas de subside</v>
      </c>
      <c r="I15" s="410">
        <f>'ADO-14'!$B$17</f>
        <v>0</v>
      </c>
      <c r="J15" s="410">
        <f>'ADO-14'!$B$20</f>
        <v>1</v>
      </c>
      <c r="K15" s="410">
        <f>'ADO-14'!$B$21</f>
        <v>0</v>
      </c>
      <c r="L15" s="419">
        <f>'ADO-14'!$B$23</f>
        <v>2000</v>
      </c>
      <c r="M15" s="412">
        <f>'ADO-14'!$B$24</f>
        <v>52.2</v>
      </c>
      <c r="N15" s="413">
        <f t="shared" si="0"/>
        <v>26.1</v>
      </c>
      <c r="O15" s="414" t="str">
        <f>'ADO-14'!$E$5</f>
        <v>En cours</v>
      </c>
      <c r="P15" s="421">
        <f>'ADO-14'!$B$15</f>
        <v>2020</v>
      </c>
      <c r="Q15" s="652" t="str">
        <f t="shared" si="50"/>
        <v/>
      </c>
      <c r="R15" s="416">
        <f t="shared" si="51"/>
        <v>0</v>
      </c>
      <c r="S15" s="416">
        <f t="shared" si="2"/>
        <v>0</v>
      </c>
      <c r="T15" s="416">
        <f t="shared" si="3"/>
        <v>0</v>
      </c>
      <c r="U15" s="416">
        <f t="shared" si="4"/>
        <v>0</v>
      </c>
      <c r="V15" s="416">
        <f t="shared" si="5"/>
        <v>0</v>
      </c>
      <c r="W15" s="416">
        <f t="shared" si="6"/>
        <v>0</v>
      </c>
      <c r="X15" s="416">
        <f t="shared" si="7"/>
        <v>0</v>
      </c>
      <c r="Z15" s="418">
        <f t="shared" si="8"/>
        <v>0</v>
      </c>
      <c r="AA15" s="418">
        <f t="shared" si="9"/>
        <v>0</v>
      </c>
      <c r="AB15" s="418">
        <f t="shared" si="10"/>
        <v>0</v>
      </c>
      <c r="AC15" s="418">
        <f t="shared" si="11"/>
        <v>0</v>
      </c>
      <c r="AD15" s="418">
        <f t="shared" si="12"/>
        <v>0</v>
      </c>
      <c r="AE15" s="418">
        <f t="shared" si="13"/>
        <v>0</v>
      </c>
      <c r="AF15" s="418">
        <f t="shared" si="14"/>
        <v>0</v>
      </c>
      <c r="AH15" s="418">
        <f t="shared" si="15"/>
        <v>0</v>
      </c>
      <c r="AI15" s="418">
        <f t="shared" si="16"/>
        <v>0</v>
      </c>
      <c r="AJ15" s="418">
        <f t="shared" si="17"/>
        <v>0</v>
      </c>
      <c r="AK15" s="418">
        <f t="shared" si="18"/>
        <v>0</v>
      </c>
      <c r="AL15" s="418">
        <f t="shared" si="19"/>
        <v>0</v>
      </c>
      <c r="AM15" s="418">
        <f t="shared" si="20"/>
        <v>0</v>
      </c>
      <c r="AN15" s="418">
        <f t="shared" si="21"/>
        <v>0</v>
      </c>
      <c r="AP15" s="418">
        <f t="shared" si="22"/>
        <v>0</v>
      </c>
      <c r="AQ15" s="418">
        <f t="shared" si="23"/>
        <v>0</v>
      </c>
      <c r="AR15" s="418">
        <f t="shared" si="24"/>
        <v>0</v>
      </c>
      <c r="AS15" s="418">
        <f t="shared" si="25"/>
        <v>0</v>
      </c>
      <c r="AT15" s="418">
        <f t="shared" si="26"/>
        <v>0</v>
      </c>
      <c r="AU15" s="418">
        <f t="shared" si="27"/>
        <v>0</v>
      </c>
      <c r="AV15" s="418">
        <f t="shared" si="28"/>
        <v>0</v>
      </c>
      <c r="AX15" s="418">
        <f t="shared" si="29"/>
        <v>0</v>
      </c>
      <c r="AY15" s="418">
        <f t="shared" si="30"/>
        <v>0</v>
      </c>
      <c r="AZ15" s="418">
        <f t="shared" si="31"/>
        <v>0</v>
      </c>
      <c r="BA15" s="418">
        <f t="shared" si="32"/>
        <v>0</v>
      </c>
      <c r="BB15" s="418">
        <f t="shared" si="33"/>
        <v>0</v>
      </c>
      <c r="BC15" s="418">
        <f t="shared" si="34"/>
        <v>0</v>
      </c>
      <c r="BD15" s="418">
        <f t="shared" si="35"/>
        <v>0</v>
      </c>
      <c r="BF15" s="418">
        <f t="shared" si="36"/>
        <v>0</v>
      </c>
      <c r="BG15" s="418">
        <f t="shared" si="37"/>
        <v>0</v>
      </c>
      <c r="BH15" s="418">
        <f t="shared" si="38"/>
        <v>0</v>
      </c>
      <c r="BI15" s="418">
        <f t="shared" si="39"/>
        <v>0</v>
      </c>
      <c r="BJ15" s="418">
        <f t="shared" si="40"/>
        <v>0</v>
      </c>
      <c r="BK15" s="418">
        <f t="shared" si="41"/>
        <v>0</v>
      </c>
      <c r="BM15" s="418">
        <f t="shared" si="42"/>
        <v>0</v>
      </c>
      <c r="BN15" s="418">
        <f t="shared" si="43"/>
        <v>0</v>
      </c>
      <c r="BO15" s="418">
        <f t="shared" si="44"/>
        <v>0</v>
      </c>
      <c r="BP15" s="418">
        <f t="shared" si="45"/>
        <v>0</v>
      </c>
      <c r="BQ15" s="418">
        <f t="shared" si="46"/>
        <v>0</v>
      </c>
      <c r="BR15" s="418">
        <f t="shared" si="47"/>
        <v>0</v>
      </c>
      <c r="BT15" s="416">
        <f t="shared" si="48"/>
        <v>0</v>
      </c>
      <c r="BU15" s="416">
        <f t="shared" si="49"/>
        <v>0</v>
      </c>
    </row>
    <row r="16" spans="1:73" s="417" customFormat="1" x14ac:dyDescent="0.25">
      <c r="A16" s="649" t="s">
        <v>688</v>
      </c>
      <c r="B16" s="409" t="str">
        <f>'ADO-15'!$B$7</f>
        <v>Bâtiments communaux</v>
      </c>
      <c r="C16" s="409" t="str">
        <f>'ADO-15'!$B$8</f>
        <v>Chasse aux gaspis - électricité</v>
      </c>
      <c r="D16" s="409" t="str">
        <f>'ADO-15'!$C$4</f>
        <v>Communal</v>
      </c>
      <c r="E16" s="409" t="str">
        <f>'ADO-15'!$B$11</f>
        <v>AC HABAY</v>
      </c>
      <c r="F16" s="409" t="str">
        <f>'ADO-15'!$B$5</f>
        <v>Fonds propres</v>
      </c>
      <c r="G16" s="410">
        <f>'ADO-15'!$B$16</f>
        <v>2000</v>
      </c>
      <c r="H16" s="409" t="str">
        <f>'ADO-15'!$B$6</f>
        <v>Pas de subside</v>
      </c>
      <c r="I16" s="410">
        <f>'ADO-15'!$B$17</f>
        <v>0</v>
      </c>
      <c r="J16" s="410">
        <f>'ADO-15'!$B$20</f>
        <v>1</v>
      </c>
      <c r="K16" s="410">
        <f>'ADO-15'!$B$21</f>
        <v>0</v>
      </c>
      <c r="L16" s="419">
        <f>'ADO-15'!$B$23</f>
        <v>2000</v>
      </c>
      <c r="M16" s="412">
        <f>'ADO-15'!$B$24</f>
        <v>23.4</v>
      </c>
      <c r="N16" s="413">
        <f t="shared" si="0"/>
        <v>11.7</v>
      </c>
      <c r="O16" s="414" t="str">
        <f>'ADO-15'!$E$5</f>
        <v>A faire</v>
      </c>
      <c r="P16" s="421">
        <f>'ADO-15'!$B$15</f>
        <v>2020</v>
      </c>
      <c r="Q16" s="652" t="str">
        <f t="shared" si="50"/>
        <v/>
      </c>
      <c r="R16" s="416">
        <f t="shared" si="51"/>
        <v>0</v>
      </c>
      <c r="S16" s="416">
        <f t="shared" si="2"/>
        <v>0</v>
      </c>
      <c r="T16" s="416">
        <f t="shared" si="3"/>
        <v>0</v>
      </c>
      <c r="U16" s="416">
        <f t="shared" si="4"/>
        <v>0</v>
      </c>
      <c r="V16" s="416">
        <f t="shared" si="5"/>
        <v>0</v>
      </c>
      <c r="W16" s="416">
        <f t="shared" si="6"/>
        <v>0</v>
      </c>
      <c r="X16" s="416">
        <f t="shared" si="7"/>
        <v>0</v>
      </c>
      <c r="Z16" s="418">
        <f t="shared" si="8"/>
        <v>0</v>
      </c>
      <c r="AA16" s="418">
        <f t="shared" si="9"/>
        <v>0</v>
      </c>
      <c r="AB16" s="418">
        <f t="shared" si="10"/>
        <v>0</v>
      </c>
      <c r="AC16" s="418">
        <f t="shared" si="11"/>
        <v>0</v>
      </c>
      <c r="AD16" s="418">
        <f t="shared" si="12"/>
        <v>0</v>
      </c>
      <c r="AE16" s="418">
        <f t="shared" si="13"/>
        <v>0</v>
      </c>
      <c r="AF16" s="418">
        <f t="shared" si="14"/>
        <v>0</v>
      </c>
      <c r="AH16" s="418">
        <f t="shared" si="15"/>
        <v>0</v>
      </c>
      <c r="AI16" s="418">
        <f t="shared" si="16"/>
        <v>0</v>
      </c>
      <c r="AJ16" s="418">
        <f t="shared" si="17"/>
        <v>0</v>
      </c>
      <c r="AK16" s="418">
        <f t="shared" si="18"/>
        <v>0</v>
      </c>
      <c r="AL16" s="418">
        <f t="shared" si="19"/>
        <v>0</v>
      </c>
      <c r="AM16" s="418">
        <f t="shared" si="20"/>
        <v>0</v>
      </c>
      <c r="AN16" s="418">
        <f t="shared" si="21"/>
        <v>0</v>
      </c>
      <c r="AP16" s="418">
        <f t="shared" si="22"/>
        <v>0</v>
      </c>
      <c r="AQ16" s="418">
        <f t="shared" si="23"/>
        <v>0</v>
      </c>
      <c r="AR16" s="418">
        <f t="shared" si="24"/>
        <v>0</v>
      </c>
      <c r="AS16" s="418">
        <f t="shared" si="25"/>
        <v>0</v>
      </c>
      <c r="AT16" s="418">
        <f t="shared" si="26"/>
        <v>0</v>
      </c>
      <c r="AU16" s="418">
        <f t="shared" si="27"/>
        <v>0</v>
      </c>
      <c r="AV16" s="418">
        <f t="shared" si="28"/>
        <v>0</v>
      </c>
      <c r="AX16" s="418">
        <f t="shared" si="29"/>
        <v>0</v>
      </c>
      <c r="AY16" s="418">
        <f t="shared" si="30"/>
        <v>0</v>
      </c>
      <c r="AZ16" s="418">
        <f t="shared" si="31"/>
        <v>0</v>
      </c>
      <c r="BA16" s="418">
        <f t="shared" si="32"/>
        <v>0</v>
      </c>
      <c r="BB16" s="418">
        <f t="shared" si="33"/>
        <v>0</v>
      </c>
      <c r="BC16" s="418">
        <f t="shared" si="34"/>
        <v>0</v>
      </c>
      <c r="BD16" s="418">
        <f t="shared" si="35"/>
        <v>0</v>
      </c>
      <c r="BF16" s="418">
        <f t="shared" si="36"/>
        <v>0</v>
      </c>
      <c r="BG16" s="418">
        <f t="shared" si="37"/>
        <v>0</v>
      </c>
      <c r="BH16" s="418">
        <f t="shared" si="38"/>
        <v>0</v>
      </c>
      <c r="BI16" s="418">
        <f t="shared" si="39"/>
        <v>0</v>
      </c>
      <c r="BJ16" s="418">
        <f t="shared" si="40"/>
        <v>0</v>
      </c>
      <c r="BK16" s="418">
        <f t="shared" si="41"/>
        <v>0</v>
      </c>
      <c r="BM16" s="418">
        <f t="shared" si="42"/>
        <v>0</v>
      </c>
      <c r="BN16" s="418">
        <f t="shared" si="43"/>
        <v>0</v>
      </c>
      <c r="BO16" s="418">
        <f t="shared" si="44"/>
        <v>0</v>
      </c>
      <c r="BP16" s="418">
        <f t="shared" si="45"/>
        <v>0</v>
      </c>
      <c r="BQ16" s="418">
        <f t="shared" si="46"/>
        <v>0</v>
      </c>
      <c r="BR16" s="418">
        <f t="shared" si="47"/>
        <v>0</v>
      </c>
      <c r="BT16" s="416">
        <f t="shared" si="48"/>
        <v>0</v>
      </c>
      <c r="BU16" s="416">
        <f t="shared" si="49"/>
        <v>23.4</v>
      </c>
    </row>
    <row r="17" spans="1:73" s="417" customFormat="1" x14ac:dyDescent="0.25">
      <c r="A17" s="649" t="s">
        <v>907</v>
      </c>
      <c r="B17" s="409" t="str">
        <f>'ADO-16'!$B$7</f>
        <v>Grand public</v>
      </c>
      <c r="C17" s="409" t="str">
        <f>'ADO-16'!$B$8</f>
        <v>Incitants</v>
      </c>
      <c r="D17" s="409" t="str">
        <f>'ADO-16'!$C$4</f>
        <v>Territoire</v>
      </c>
      <c r="E17" s="409" t="str">
        <f>'ADO-16'!$B$11</f>
        <v>AC HABAY</v>
      </c>
      <c r="F17" s="409" t="str">
        <f>'ADO-16'!$B$5</f>
        <v>Fonds propres</v>
      </c>
      <c r="G17" s="410">
        <f>'ADO-16'!$B$16</f>
        <v>2000</v>
      </c>
      <c r="H17" s="409" t="str">
        <f>'ADO-16'!$B$6</f>
        <v>Pas de subside</v>
      </c>
      <c r="I17" s="410">
        <f>'ADO-16'!$B$17</f>
        <v>0</v>
      </c>
      <c r="J17" s="410">
        <f>'ADO-16'!$B$20</f>
        <v>1</v>
      </c>
      <c r="K17" s="410">
        <f>'ADO-16'!$B$21</f>
        <v>0</v>
      </c>
      <c r="L17" s="419">
        <f>'ADO-16'!$B$23</f>
        <v>2000</v>
      </c>
      <c r="M17" s="412">
        <f>'ADO-16'!$B$24</f>
        <v>23.4</v>
      </c>
      <c r="N17" s="413">
        <f t="shared" ref="N17:N18" si="52">IF(G17=0,0,M17/(G17-I17)*1000)</f>
        <v>11.7</v>
      </c>
      <c r="O17" s="414" t="str">
        <f>'ADO-16'!$E$5</f>
        <v>A faire</v>
      </c>
      <c r="P17" s="421">
        <f>'ADO-16'!$B$15</f>
        <v>2020</v>
      </c>
      <c r="Q17" s="652" t="str">
        <f t="shared" ref="Q17:Q18" si="53">IF(O17="terminé", M17,"")</f>
        <v/>
      </c>
      <c r="R17" s="416">
        <f>IF(((O17="Terminé")*OR(O17="En cours"))*AND(D17="Territoire"),M17,0)</f>
        <v>0</v>
      </c>
      <c r="S17" s="416">
        <f t="shared" si="2"/>
        <v>0</v>
      </c>
      <c r="T17" s="416">
        <f t="shared" si="3"/>
        <v>0</v>
      </c>
      <c r="U17" s="416">
        <f t="shared" si="4"/>
        <v>0</v>
      </c>
      <c r="V17" s="416">
        <f t="shared" si="5"/>
        <v>0</v>
      </c>
      <c r="W17" s="416">
        <f t="shared" si="6"/>
        <v>0</v>
      </c>
      <c r="X17" s="416">
        <f t="shared" si="7"/>
        <v>0</v>
      </c>
      <c r="Z17" s="418">
        <f t="shared" si="8"/>
        <v>0</v>
      </c>
      <c r="AA17" s="418">
        <f t="shared" si="9"/>
        <v>0</v>
      </c>
      <c r="AB17" s="418">
        <f t="shared" si="10"/>
        <v>0</v>
      </c>
      <c r="AC17" s="418">
        <f t="shared" si="11"/>
        <v>0</v>
      </c>
      <c r="AD17" s="418">
        <f t="shared" si="12"/>
        <v>0</v>
      </c>
      <c r="AE17" s="418">
        <f t="shared" si="13"/>
        <v>0</v>
      </c>
      <c r="AF17" s="418">
        <f t="shared" si="14"/>
        <v>0</v>
      </c>
      <c r="AH17" s="418">
        <f t="shared" si="15"/>
        <v>0</v>
      </c>
      <c r="AI17" s="418">
        <f t="shared" si="16"/>
        <v>0</v>
      </c>
      <c r="AJ17" s="418">
        <f t="shared" si="17"/>
        <v>0</v>
      </c>
      <c r="AK17" s="418">
        <f t="shared" si="18"/>
        <v>0</v>
      </c>
      <c r="AL17" s="418">
        <f t="shared" si="19"/>
        <v>0</v>
      </c>
      <c r="AM17" s="418">
        <f t="shared" si="20"/>
        <v>0</v>
      </c>
      <c r="AN17" s="418">
        <f t="shared" si="21"/>
        <v>0</v>
      </c>
      <c r="AP17" s="418">
        <f t="shared" si="22"/>
        <v>0</v>
      </c>
      <c r="AQ17" s="418">
        <f t="shared" si="23"/>
        <v>0</v>
      </c>
      <c r="AR17" s="418">
        <f t="shared" si="24"/>
        <v>0</v>
      </c>
      <c r="AS17" s="418">
        <f t="shared" si="25"/>
        <v>0</v>
      </c>
      <c r="AT17" s="418">
        <f t="shared" si="26"/>
        <v>0</v>
      </c>
      <c r="AU17" s="418">
        <f t="shared" si="27"/>
        <v>0</v>
      </c>
      <c r="AV17" s="418">
        <f t="shared" si="28"/>
        <v>0</v>
      </c>
      <c r="AX17" s="418">
        <f t="shared" si="29"/>
        <v>0</v>
      </c>
      <c r="AY17" s="418">
        <f t="shared" si="30"/>
        <v>0</v>
      </c>
      <c r="AZ17" s="418">
        <f t="shared" si="31"/>
        <v>0</v>
      </c>
      <c r="BA17" s="418">
        <f t="shared" si="32"/>
        <v>0</v>
      </c>
      <c r="BB17" s="418">
        <f t="shared" si="33"/>
        <v>0</v>
      </c>
      <c r="BC17" s="418">
        <f t="shared" si="34"/>
        <v>0</v>
      </c>
      <c r="BD17" s="418">
        <f t="shared" si="35"/>
        <v>0</v>
      </c>
      <c r="BF17" s="418">
        <f t="shared" si="36"/>
        <v>0</v>
      </c>
      <c r="BG17" s="418">
        <f t="shared" si="37"/>
        <v>0</v>
      </c>
      <c r="BH17" s="418">
        <f t="shared" si="38"/>
        <v>0</v>
      </c>
      <c r="BI17" s="418">
        <f t="shared" si="39"/>
        <v>0</v>
      </c>
      <c r="BJ17" s="418">
        <f t="shared" si="40"/>
        <v>0</v>
      </c>
      <c r="BK17" s="418">
        <f t="shared" si="41"/>
        <v>0</v>
      </c>
      <c r="BM17" s="418">
        <f t="shared" si="42"/>
        <v>0</v>
      </c>
      <c r="BN17" s="418">
        <f t="shared" si="43"/>
        <v>0</v>
      </c>
      <c r="BO17" s="418">
        <f t="shared" si="44"/>
        <v>0</v>
      </c>
      <c r="BP17" s="418">
        <f t="shared" si="45"/>
        <v>0</v>
      </c>
      <c r="BQ17" s="418">
        <f t="shared" si="46"/>
        <v>0</v>
      </c>
      <c r="BR17" s="418">
        <f t="shared" si="47"/>
        <v>0</v>
      </c>
      <c r="BT17" s="416">
        <f t="shared" si="48"/>
        <v>0</v>
      </c>
      <c r="BU17" s="416">
        <f t="shared" si="49"/>
        <v>23.4</v>
      </c>
    </row>
    <row r="18" spans="1:73" s="417" customFormat="1" x14ac:dyDescent="0.25">
      <c r="A18" s="649" t="s">
        <v>908</v>
      </c>
      <c r="B18" s="409" t="str">
        <f>'ADO-17'!$B$7</f>
        <v>Grand public</v>
      </c>
      <c r="C18" s="409" t="str">
        <f>'ADO-17'!$B$8</f>
        <v>Semaine Mobilité</v>
      </c>
      <c r="D18" s="409" t="str">
        <f>'ADO-17'!$C$4</f>
        <v>Territoire</v>
      </c>
      <c r="E18" s="409" t="str">
        <f>'ADO-17'!$B$11</f>
        <v>AC HABAY</v>
      </c>
      <c r="F18" s="409" t="str">
        <f>'ADO-17'!$B$5</f>
        <v>Fonds propres</v>
      </c>
      <c r="G18" s="410">
        <f>'ADO-17'!$B$16</f>
        <v>2000</v>
      </c>
      <c r="H18" s="409" t="str">
        <f>'ADO-17'!$B$6</f>
        <v>Pas de subside</v>
      </c>
      <c r="I18" s="410">
        <f>'ADO-17'!$B$17</f>
        <v>0</v>
      </c>
      <c r="J18" s="410">
        <f>'ADO-17'!$B$20</f>
        <v>1</v>
      </c>
      <c r="K18" s="410">
        <f>'ADO-17'!$B$21</f>
        <v>0</v>
      </c>
      <c r="L18" s="419">
        <f>'ADO-17'!$B$23</f>
        <v>2000</v>
      </c>
      <c r="M18" s="412">
        <f>'ADO-17'!$B$24</f>
        <v>23.4</v>
      </c>
      <c r="N18" s="413">
        <f t="shared" si="52"/>
        <v>11.7</v>
      </c>
      <c r="O18" s="414" t="str">
        <f>'ADO-17'!$E$5</f>
        <v>A faire</v>
      </c>
      <c r="P18" s="421">
        <f>'ADO-17'!$B$15</f>
        <v>2020</v>
      </c>
      <c r="Q18" s="652" t="str">
        <f t="shared" si="53"/>
        <v/>
      </c>
      <c r="R18" s="416">
        <f t="shared" si="51"/>
        <v>0</v>
      </c>
      <c r="S18" s="416">
        <f t="shared" si="2"/>
        <v>0</v>
      </c>
      <c r="T18" s="416">
        <f t="shared" si="3"/>
        <v>0</v>
      </c>
      <c r="U18" s="416">
        <f t="shared" si="4"/>
        <v>0</v>
      </c>
      <c r="V18" s="416">
        <f t="shared" si="5"/>
        <v>0</v>
      </c>
      <c r="W18" s="416">
        <f t="shared" si="6"/>
        <v>0</v>
      </c>
      <c r="X18" s="416">
        <f t="shared" si="7"/>
        <v>0</v>
      </c>
      <c r="Z18" s="418">
        <f t="shared" si="8"/>
        <v>0</v>
      </c>
      <c r="AA18" s="418">
        <f t="shared" si="9"/>
        <v>0</v>
      </c>
      <c r="AB18" s="418">
        <f t="shared" si="10"/>
        <v>0</v>
      </c>
      <c r="AC18" s="418">
        <f t="shared" si="11"/>
        <v>0</v>
      </c>
      <c r="AD18" s="418">
        <f t="shared" si="12"/>
        <v>0</v>
      </c>
      <c r="AE18" s="418">
        <f t="shared" si="13"/>
        <v>0</v>
      </c>
      <c r="AF18" s="418">
        <f t="shared" si="14"/>
        <v>0</v>
      </c>
      <c r="AH18" s="418">
        <f t="shared" si="15"/>
        <v>0</v>
      </c>
      <c r="AI18" s="418">
        <f t="shared" si="16"/>
        <v>0</v>
      </c>
      <c r="AJ18" s="418">
        <f t="shared" si="17"/>
        <v>0</v>
      </c>
      <c r="AK18" s="418">
        <f t="shared" si="18"/>
        <v>0</v>
      </c>
      <c r="AL18" s="418">
        <f t="shared" si="19"/>
        <v>0</v>
      </c>
      <c r="AM18" s="418">
        <f t="shared" si="20"/>
        <v>0</v>
      </c>
      <c r="AN18" s="418">
        <f t="shared" si="21"/>
        <v>0</v>
      </c>
      <c r="AP18" s="418">
        <f t="shared" si="22"/>
        <v>0</v>
      </c>
      <c r="AQ18" s="418">
        <f t="shared" si="23"/>
        <v>0</v>
      </c>
      <c r="AR18" s="418">
        <f t="shared" si="24"/>
        <v>0</v>
      </c>
      <c r="AS18" s="418">
        <f t="shared" si="25"/>
        <v>0</v>
      </c>
      <c r="AT18" s="418">
        <f t="shared" si="26"/>
        <v>0</v>
      </c>
      <c r="AU18" s="418">
        <f t="shared" si="27"/>
        <v>0</v>
      </c>
      <c r="AV18" s="418">
        <f t="shared" si="28"/>
        <v>0</v>
      </c>
      <c r="AX18" s="418">
        <f t="shared" si="29"/>
        <v>0</v>
      </c>
      <c r="AY18" s="418">
        <f t="shared" si="30"/>
        <v>0</v>
      </c>
      <c r="AZ18" s="418">
        <f t="shared" si="31"/>
        <v>0</v>
      </c>
      <c r="BA18" s="418">
        <f t="shared" si="32"/>
        <v>0</v>
      </c>
      <c r="BB18" s="418">
        <f t="shared" si="33"/>
        <v>0</v>
      </c>
      <c r="BC18" s="418">
        <f t="shared" si="34"/>
        <v>0</v>
      </c>
      <c r="BD18" s="418">
        <f t="shared" si="35"/>
        <v>0</v>
      </c>
      <c r="BF18" s="418">
        <f t="shared" si="36"/>
        <v>0</v>
      </c>
      <c r="BG18" s="418">
        <f t="shared" si="37"/>
        <v>0</v>
      </c>
      <c r="BH18" s="418">
        <f t="shared" si="38"/>
        <v>0</v>
      </c>
      <c r="BI18" s="418">
        <f t="shared" si="39"/>
        <v>0</v>
      </c>
      <c r="BJ18" s="418">
        <f t="shared" si="40"/>
        <v>0</v>
      </c>
      <c r="BK18" s="418">
        <f t="shared" si="41"/>
        <v>0</v>
      </c>
      <c r="BM18" s="418">
        <f t="shared" si="42"/>
        <v>0</v>
      </c>
      <c r="BN18" s="418">
        <f t="shared" si="43"/>
        <v>0</v>
      </c>
      <c r="BO18" s="418">
        <f t="shared" si="44"/>
        <v>0</v>
      </c>
      <c r="BP18" s="418">
        <f t="shared" si="45"/>
        <v>0</v>
      </c>
      <c r="BQ18" s="418">
        <f t="shared" si="46"/>
        <v>0</v>
      </c>
      <c r="BR18" s="418">
        <f t="shared" si="47"/>
        <v>0</v>
      </c>
      <c r="BT18" s="416">
        <f t="shared" si="48"/>
        <v>0</v>
      </c>
      <c r="BU18" s="416">
        <f t="shared" si="49"/>
        <v>23.4</v>
      </c>
    </row>
    <row r="19" spans="1:73" s="477" customFormat="1" x14ac:dyDescent="0.25">
      <c r="A19" s="769" t="s">
        <v>90</v>
      </c>
      <c r="B19" s="468" t="str">
        <f>'ADU-1'!$B$7</f>
        <v>Solaire thermique</v>
      </c>
      <c r="C19" s="468" t="str">
        <f>'ADU-1'!$B$8</f>
        <v>Installation solaires thermiques existantes</v>
      </c>
      <c r="D19" s="468" t="str">
        <f>'ADU-1'!$C$4</f>
        <v>Logement</v>
      </c>
      <c r="E19" s="468" t="str">
        <f>'ADU-1'!$B$11</f>
        <v>Citoyen</v>
      </c>
      <c r="F19" s="468" t="str">
        <f>'ADU-1'!$B$5</f>
        <v>Prêt bancaire</v>
      </c>
      <c r="G19" s="469">
        <f>'ADU-1'!$B$16</f>
        <v>49500</v>
      </c>
      <c r="H19" s="468" t="str">
        <f>'ADU-1'!$B$6</f>
        <v>Prime RW</v>
      </c>
      <c r="I19" s="469">
        <f>'ADU-1'!$B$17</f>
        <v>11000</v>
      </c>
      <c r="J19" s="469">
        <f>'ADU-1'!$B$20</f>
        <v>2480.4119999999998</v>
      </c>
      <c r="K19" s="469">
        <f>'ADU-1'!$B$21</f>
        <v>0</v>
      </c>
      <c r="L19" s="470">
        <f>'ADU-1'!$B$23</f>
        <v>15.521614957515125</v>
      </c>
      <c r="M19" s="471">
        <f>'ADU-1'!$B$24</f>
        <v>7.5277620000000001</v>
      </c>
      <c r="N19" s="472">
        <f t="shared" si="0"/>
        <v>0.19552628571428571</v>
      </c>
      <c r="O19" s="473" t="str">
        <f>'ADU-1'!$E$5</f>
        <v>Terminé</v>
      </c>
      <c r="P19" s="474">
        <f>'ADU-1'!$B$15</f>
        <v>2014</v>
      </c>
      <c r="Q19" s="539">
        <f t="shared" si="50"/>
        <v>7.5277620000000001</v>
      </c>
      <c r="R19" s="475">
        <f t="shared" si="1"/>
        <v>0</v>
      </c>
      <c r="S19" s="475">
        <f t="shared" si="2"/>
        <v>0</v>
      </c>
      <c r="T19" s="475">
        <f t="shared" si="3"/>
        <v>0</v>
      </c>
      <c r="U19" s="476">
        <f t="shared" si="4"/>
        <v>7.5277620000000001</v>
      </c>
      <c r="V19" s="475">
        <f t="shared" si="5"/>
        <v>0</v>
      </c>
      <c r="W19" s="475">
        <f t="shared" si="6"/>
        <v>0</v>
      </c>
      <c r="X19" s="475">
        <f t="shared" si="7"/>
        <v>0</v>
      </c>
      <c r="Z19" s="478">
        <f t="shared" si="8"/>
        <v>0</v>
      </c>
      <c r="AA19" s="478">
        <f t="shared" si="9"/>
        <v>0</v>
      </c>
      <c r="AB19" s="478">
        <f t="shared" si="10"/>
        <v>0</v>
      </c>
      <c r="AC19" s="478">
        <f t="shared" si="11"/>
        <v>49500</v>
      </c>
      <c r="AD19" s="478">
        <f t="shared" si="12"/>
        <v>0</v>
      </c>
      <c r="AE19" s="478">
        <f t="shared" si="13"/>
        <v>0</v>
      </c>
      <c r="AF19" s="478">
        <f t="shared" si="14"/>
        <v>0</v>
      </c>
      <c r="AH19" s="478">
        <f t="shared" si="15"/>
        <v>0</v>
      </c>
      <c r="AI19" s="478">
        <f t="shared" si="16"/>
        <v>0</v>
      </c>
      <c r="AJ19" s="478">
        <f t="shared" si="17"/>
        <v>0</v>
      </c>
      <c r="AK19" s="478">
        <f t="shared" si="18"/>
        <v>11000</v>
      </c>
      <c r="AL19" s="478">
        <f t="shared" si="19"/>
        <v>0</v>
      </c>
      <c r="AM19" s="478">
        <f t="shared" si="20"/>
        <v>0</v>
      </c>
      <c r="AN19" s="478">
        <f t="shared" si="21"/>
        <v>0</v>
      </c>
      <c r="AP19" s="478">
        <f t="shared" si="22"/>
        <v>0</v>
      </c>
      <c r="AQ19" s="478">
        <f t="shared" si="23"/>
        <v>0</v>
      </c>
      <c r="AR19" s="478">
        <f t="shared" si="24"/>
        <v>0</v>
      </c>
      <c r="AS19" s="478">
        <f t="shared" si="25"/>
        <v>2480.4119999999998</v>
      </c>
      <c r="AT19" s="478">
        <f t="shared" si="26"/>
        <v>0</v>
      </c>
      <c r="AU19" s="478">
        <f t="shared" si="27"/>
        <v>0</v>
      </c>
      <c r="AV19" s="478">
        <f t="shared" si="28"/>
        <v>0</v>
      </c>
      <c r="AX19" s="478">
        <f t="shared" si="29"/>
        <v>0</v>
      </c>
      <c r="AY19" s="478">
        <f t="shared" si="30"/>
        <v>0</v>
      </c>
      <c r="AZ19" s="478">
        <f t="shared" si="31"/>
        <v>0</v>
      </c>
      <c r="BA19" s="478">
        <f t="shared" si="32"/>
        <v>0</v>
      </c>
      <c r="BB19" s="478">
        <f t="shared" si="33"/>
        <v>0</v>
      </c>
      <c r="BC19" s="478">
        <f t="shared" si="34"/>
        <v>0</v>
      </c>
      <c r="BD19" s="478">
        <f t="shared" si="35"/>
        <v>0</v>
      </c>
      <c r="BF19" s="478">
        <f t="shared" si="36"/>
        <v>0</v>
      </c>
      <c r="BG19" s="478">
        <f t="shared" si="37"/>
        <v>0</v>
      </c>
      <c r="BH19" s="478">
        <f t="shared" si="38"/>
        <v>49500</v>
      </c>
      <c r="BI19" s="478">
        <f t="shared" si="39"/>
        <v>0</v>
      </c>
      <c r="BJ19" s="478">
        <f t="shared" si="40"/>
        <v>0</v>
      </c>
      <c r="BK19" s="478">
        <f t="shared" si="41"/>
        <v>0</v>
      </c>
      <c r="BM19" s="478">
        <f t="shared" si="42"/>
        <v>0</v>
      </c>
      <c r="BN19" s="478">
        <f t="shared" si="43"/>
        <v>0</v>
      </c>
      <c r="BO19" s="478">
        <f t="shared" si="44"/>
        <v>11000</v>
      </c>
      <c r="BP19" s="478">
        <f t="shared" si="45"/>
        <v>0</v>
      </c>
      <c r="BQ19" s="478">
        <f t="shared" si="46"/>
        <v>0</v>
      </c>
      <c r="BR19" s="478">
        <f t="shared" si="47"/>
        <v>0</v>
      </c>
      <c r="BT19" s="475">
        <f t="shared" si="48"/>
        <v>7.5277620000000001</v>
      </c>
      <c r="BU19" s="475">
        <f t="shared" si="49"/>
        <v>0</v>
      </c>
    </row>
    <row r="20" spans="1:73" s="503" customFormat="1" x14ac:dyDescent="0.25">
      <c r="A20" s="770" t="s">
        <v>92</v>
      </c>
      <c r="B20" s="494" t="str">
        <f>'ADU-2'!$B$7</f>
        <v xml:space="preserve">Installations photovoltaïques </v>
      </c>
      <c r="C20" s="494" t="str">
        <f>'ADU-2'!$B$8</f>
        <v>Installations photovoltaïques pour habitations privées</v>
      </c>
      <c r="D20" s="494" t="str">
        <f>'ADU-2'!$C$4</f>
        <v>Logement</v>
      </c>
      <c r="E20" s="494" t="str">
        <f>'ADU-2'!$B$11</f>
        <v>Citoyen</v>
      </c>
      <c r="F20" s="494" t="str">
        <f>'ADU-2'!$B$5</f>
        <v>Prêt bancaire</v>
      </c>
      <c r="G20" s="495">
        <f>'ADU-2'!$B$16</f>
        <v>6314000.0000000009</v>
      </c>
      <c r="H20" s="494" t="str">
        <f>'ADU-2'!$B$6</f>
        <v>CV</v>
      </c>
      <c r="I20" s="495">
        <f>'ADU-2'!$B$17</f>
        <v>0</v>
      </c>
      <c r="J20" s="495">
        <f>'ADU-2'!$B$20</f>
        <v>585480</v>
      </c>
      <c r="K20" s="495">
        <f>'ADU-2'!$B$21</f>
        <v>634270</v>
      </c>
      <c r="L20" s="496">
        <f>'ADU-2'!$B$23</f>
        <v>5.1764705882352953</v>
      </c>
      <c r="M20" s="497">
        <f>'ADU-2'!$B$24</f>
        <v>890.41750000000002</v>
      </c>
      <c r="N20" s="498">
        <f t="shared" si="0"/>
        <v>0.14102272727272727</v>
      </c>
      <c r="O20" s="499" t="str">
        <f>'ADU-2'!$E$5</f>
        <v>Terminé</v>
      </c>
      <c r="P20" s="500">
        <f>'ADU-2'!$B$15</f>
        <v>2014</v>
      </c>
      <c r="Q20" s="530">
        <f t="shared" si="50"/>
        <v>890.41750000000002</v>
      </c>
      <c r="R20" s="501">
        <f t="shared" si="1"/>
        <v>0</v>
      </c>
      <c r="S20" s="501">
        <f t="shared" si="2"/>
        <v>0</v>
      </c>
      <c r="T20" s="501">
        <f t="shared" si="3"/>
        <v>0</v>
      </c>
      <c r="U20" s="502">
        <f t="shared" si="4"/>
        <v>890.41750000000002</v>
      </c>
      <c r="V20" s="501">
        <f t="shared" si="5"/>
        <v>0</v>
      </c>
      <c r="W20" s="501">
        <f t="shared" si="6"/>
        <v>0</v>
      </c>
      <c r="X20" s="501">
        <f t="shared" si="7"/>
        <v>0</v>
      </c>
      <c r="Z20" s="504">
        <f t="shared" si="8"/>
        <v>0</v>
      </c>
      <c r="AA20" s="504">
        <f t="shared" si="9"/>
        <v>0</v>
      </c>
      <c r="AB20" s="504">
        <f t="shared" si="10"/>
        <v>0</v>
      </c>
      <c r="AC20" s="504">
        <f t="shared" si="11"/>
        <v>6314000.0000000009</v>
      </c>
      <c r="AD20" s="504">
        <f t="shared" si="12"/>
        <v>0</v>
      </c>
      <c r="AE20" s="504">
        <f t="shared" si="13"/>
        <v>0</v>
      </c>
      <c r="AF20" s="504">
        <f t="shared" si="14"/>
        <v>0</v>
      </c>
      <c r="AH20" s="504">
        <f t="shared" si="15"/>
        <v>0</v>
      </c>
      <c r="AI20" s="504">
        <f t="shared" si="16"/>
        <v>0</v>
      </c>
      <c r="AJ20" s="504">
        <f t="shared" si="17"/>
        <v>0</v>
      </c>
      <c r="AK20" s="504">
        <f t="shared" si="18"/>
        <v>0</v>
      </c>
      <c r="AL20" s="504">
        <f t="shared" si="19"/>
        <v>0</v>
      </c>
      <c r="AM20" s="504">
        <f t="shared" si="20"/>
        <v>0</v>
      </c>
      <c r="AN20" s="504">
        <f t="shared" si="21"/>
        <v>0</v>
      </c>
      <c r="AP20" s="504">
        <f t="shared" si="22"/>
        <v>0</v>
      </c>
      <c r="AQ20" s="504">
        <f t="shared" si="23"/>
        <v>0</v>
      </c>
      <c r="AR20" s="504">
        <f t="shared" si="24"/>
        <v>0</v>
      </c>
      <c r="AS20" s="504">
        <f t="shared" si="25"/>
        <v>585480</v>
      </c>
      <c r="AT20" s="504">
        <f t="shared" si="26"/>
        <v>0</v>
      </c>
      <c r="AU20" s="504">
        <f t="shared" si="27"/>
        <v>0</v>
      </c>
      <c r="AV20" s="504">
        <f t="shared" si="28"/>
        <v>0</v>
      </c>
      <c r="AX20" s="504">
        <f t="shared" si="29"/>
        <v>0</v>
      </c>
      <c r="AY20" s="504">
        <f t="shared" si="30"/>
        <v>0</v>
      </c>
      <c r="AZ20" s="504">
        <f t="shared" si="31"/>
        <v>0</v>
      </c>
      <c r="BA20" s="504">
        <f t="shared" si="32"/>
        <v>634270</v>
      </c>
      <c r="BB20" s="504">
        <f t="shared" si="33"/>
        <v>0</v>
      </c>
      <c r="BC20" s="504">
        <f t="shared" si="34"/>
        <v>0</v>
      </c>
      <c r="BD20" s="504">
        <f t="shared" si="35"/>
        <v>0</v>
      </c>
      <c r="BF20" s="504">
        <f t="shared" si="36"/>
        <v>0</v>
      </c>
      <c r="BG20" s="504">
        <f t="shared" si="37"/>
        <v>0</v>
      </c>
      <c r="BH20" s="504">
        <f t="shared" si="38"/>
        <v>6314000.0000000009</v>
      </c>
      <c r="BI20" s="504">
        <f t="shared" si="39"/>
        <v>0</v>
      </c>
      <c r="BJ20" s="504">
        <f t="shared" si="40"/>
        <v>0</v>
      </c>
      <c r="BK20" s="504">
        <f t="shared" si="41"/>
        <v>0</v>
      </c>
      <c r="BM20" s="504">
        <f t="shared" si="42"/>
        <v>0</v>
      </c>
      <c r="BN20" s="504">
        <f t="shared" si="43"/>
        <v>0</v>
      </c>
      <c r="BO20" s="504">
        <f t="shared" si="44"/>
        <v>0</v>
      </c>
      <c r="BP20" s="504">
        <f t="shared" si="45"/>
        <v>0</v>
      </c>
      <c r="BQ20" s="504">
        <f t="shared" si="46"/>
        <v>0</v>
      </c>
      <c r="BR20" s="504">
        <f t="shared" si="47"/>
        <v>0</v>
      </c>
      <c r="BT20" s="501">
        <f t="shared" si="48"/>
        <v>890.41750000000002</v>
      </c>
      <c r="BU20" s="501">
        <f t="shared" si="49"/>
        <v>0</v>
      </c>
    </row>
    <row r="21" spans="1:73" s="503" customFormat="1" x14ac:dyDescent="0.25">
      <c r="A21" s="771" t="s">
        <v>693</v>
      </c>
      <c r="B21" s="494" t="str">
        <f>'ADU-221'!$B$7</f>
        <v>Installation photovoltaïque</v>
      </c>
      <c r="C21" s="494" t="str">
        <f>'ADU-221'!$B$8</f>
        <v>Installation PhV 65 kWc</v>
      </c>
      <c r="D21" s="494" t="str">
        <f>'ADU-221'!$C$4</f>
        <v>Tertiaire</v>
      </c>
      <c r="E21" s="494" t="str">
        <f>'ADU-221'!$B$11</f>
        <v>Tertiaire</v>
      </c>
      <c r="F21" s="494" t="str">
        <f>'ADU-221'!$B$5</f>
        <v>Fonds propres</v>
      </c>
      <c r="G21" s="495">
        <f>'ADU-221'!$B$16</f>
        <v>143000</v>
      </c>
      <c r="H21" s="494" t="str">
        <f>'ADU-221'!$B$6</f>
        <v>CV</v>
      </c>
      <c r="I21" s="495">
        <f>'ADU-221'!$B$17</f>
        <v>0</v>
      </c>
      <c r="J21" s="495">
        <f>'ADU-221'!$B$20</f>
        <v>13260</v>
      </c>
      <c r="K21" s="495">
        <f>'ADU-221'!$B$21</f>
        <v>3591.25</v>
      </c>
      <c r="L21" s="496">
        <f>'ADU-221'!$B$23</f>
        <v>8.486017357762778</v>
      </c>
      <c r="M21" s="497">
        <f>'ADU-221'!$B$24</f>
        <v>20.166249999999998</v>
      </c>
      <c r="N21" s="498">
        <f>IF(G21=0,0,M21/(G21-I21)*1000)</f>
        <v>0.14102272727272727</v>
      </c>
      <c r="O21" s="499" t="str">
        <f>'ADU-221'!$E$5</f>
        <v>Terminé</v>
      </c>
      <c r="P21" s="500">
        <f>'ADU-221'!$B$15</f>
        <v>2014</v>
      </c>
      <c r="Q21" s="530">
        <f t="shared" si="50"/>
        <v>20.166249999999998</v>
      </c>
      <c r="R21" s="501">
        <f t="shared" si="1"/>
        <v>0</v>
      </c>
      <c r="S21" s="501">
        <f t="shared" si="2"/>
        <v>0</v>
      </c>
      <c r="T21" s="501">
        <f t="shared" si="3"/>
        <v>0</v>
      </c>
      <c r="U21" s="502">
        <f t="shared" si="4"/>
        <v>0</v>
      </c>
      <c r="V21" s="501">
        <f t="shared" si="5"/>
        <v>20.166249999999998</v>
      </c>
      <c r="W21" s="501">
        <f t="shared" si="6"/>
        <v>0</v>
      </c>
      <c r="X21" s="501">
        <f t="shared" si="7"/>
        <v>0</v>
      </c>
      <c r="Z21" s="504">
        <f t="shared" si="8"/>
        <v>0</v>
      </c>
      <c r="AA21" s="504">
        <f t="shared" si="9"/>
        <v>0</v>
      </c>
      <c r="AB21" s="504">
        <f t="shared" si="10"/>
        <v>0</v>
      </c>
      <c r="AC21" s="504">
        <f t="shared" si="11"/>
        <v>0</v>
      </c>
      <c r="AD21" s="504">
        <f t="shared" si="12"/>
        <v>143000</v>
      </c>
      <c r="AE21" s="504">
        <f t="shared" si="13"/>
        <v>0</v>
      </c>
      <c r="AF21" s="504">
        <f t="shared" si="14"/>
        <v>0</v>
      </c>
      <c r="AH21" s="504">
        <f t="shared" si="15"/>
        <v>0</v>
      </c>
      <c r="AI21" s="504">
        <f t="shared" si="16"/>
        <v>0</v>
      </c>
      <c r="AJ21" s="504">
        <f t="shared" si="17"/>
        <v>0</v>
      </c>
      <c r="AK21" s="504">
        <f t="shared" si="18"/>
        <v>0</v>
      </c>
      <c r="AL21" s="504">
        <f t="shared" si="19"/>
        <v>0</v>
      </c>
      <c r="AM21" s="504">
        <f t="shared" si="20"/>
        <v>0</v>
      </c>
      <c r="AN21" s="504">
        <f t="shared" si="21"/>
        <v>0</v>
      </c>
      <c r="AP21" s="504">
        <f t="shared" si="22"/>
        <v>0</v>
      </c>
      <c r="AQ21" s="504">
        <f t="shared" si="23"/>
        <v>0</v>
      </c>
      <c r="AR21" s="504">
        <f t="shared" si="24"/>
        <v>0</v>
      </c>
      <c r="AS21" s="504">
        <f t="shared" si="25"/>
        <v>0</v>
      </c>
      <c r="AT21" s="504">
        <f t="shared" si="26"/>
        <v>13260</v>
      </c>
      <c r="AU21" s="504">
        <f t="shared" si="27"/>
        <v>0</v>
      </c>
      <c r="AV21" s="504">
        <f t="shared" si="28"/>
        <v>0</v>
      </c>
      <c r="AX21" s="504">
        <f t="shared" si="29"/>
        <v>0</v>
      </c>
      <c r="AY21" s="504">
        <f t="shared" si="30"/>
        <v>0</v>
      </c>
      <c r="AZ21" s="504">
        <f t="shared" si="31"/>
        <v>0</v>
      </c>
      <c r="BA21" s="504">
        <f t="shared" si="32"/>
        <v>0</v>
      </c>
      <c r="BB21" s="504">
        <f t="shared" si="33"/>
        <v>3591.25</v>
      </c>
      <c r="BC21" s="504">
        <f t="shared" si="34"/>
        <v>0</v>
      </c>
      <c r="BD21" s="504">
        <f t="shared" si="35"/>
        <v>0</v>
      </c>
      <c r="BF21" s="504">
        <f t="shared" si="36"/>
        <v>0</v>
      </c>
      <c r="BG21" s="504">
        <f t="shared" si="37"/>
        <v>0</v>
      </c>
      <c r="BH21" s="504">
        <f t="shared" si="38"/>
        <v>0</v>
      </c>
      <c r="BI21" s="504">
        <f t="shared" si="39"/>
        <v>0</v>
      </c>
      <c r="BJ21" s="504">
        <f t="shared" si="40"/>
        <v>0</v>
      </c>
      <c r="BK21" s="504">
        <f t="shared" si="41"/>
        <v>143000</v>
      </c>
      <c r="BM21" s="504">
        <f t="shared" si="42"/>
        <v>0</v>
      </c>
      <c r="BN21" s="504">
        <f t="shared" si="43"/>
        <v>0</v>
      </c>
      <c r="BO21" s="504">
        <f t="shared" si="44"/>
        <v>0</v>
      </c>
      <c r="BP21" s="504">
        <f t="shared" si="45"/>
        <v>0</v>
      </c>
      <c r="BQ21" s="504">
        <f t="shared" si="46"/>
        <v>0</v>
      </c>
      <c r="BR21" s="504">
        <f t="shared" si="47"/>
        <v>0</v>
      </c>
      <c r="BT21" s="501">
        <f t="shared" si="48"/>
        <v>20.166249999999998</v>
      </c>
      <c r="BU21" s="501">
        <f t="shared" si="49"/>
        <v>0</v>
      </c>
    </row>
    <row r="22" spans="1:73" s="503" customFormat="1" x14ac:dyDescent="0.25">
      <c r="A22" s="771" t="s">
        <v>692</v>
      </c>
      <c r="B22" s="494" t="str">
        <f>'ADU-222'!$B$7</f>
        <v>Installation photovoltaïque</v>
      </c>
      <c r="C22" s="494" t="str">
        <f>'ADU-222'!$B$8</f>
        <v>Installation PhV 46 kWc</v>
      </c>
      <c r="D22" s="494" t="str">
        <f>'ADU-222'!$C$4</f>
        <v>Tertiaire</v>
      </c>
      <c r="E22" s="494" t="str">
        <f>'ADU-222'!$B$11</f>
        <v>Tertiaire</v>
      </c>
      <c r="F22" s="494" t="str">
        <f>'ADU-222'!$B$5</f>
        <v>Fonds propres</v>
      </c>
      <c r="G22" s="495">
        <f>'ADU-222'!$B$16</f>
        <v>101200.00000000001</v>
      </c>
      <c r="H22" s="494" t="str">
        <f>'ADU-222'!$B$6</f>
        <v>CV</v>
      </c>
      <c r="I22" s="495">
        <f>'ADU-222'!$B$17</f>
        <v>0</v>
      </c>
      <c r="J22" s="495">
        <f>'ADU-222'!$B$20</f>
        <v>9384</v>
      </c>
      <c r="K22" s="495">
        <f>'ADU-222'!$B$21</f>
        <v>2541.5</v>
      </c>
      <c r="L22" s="496">
        <f>'ADU-222'!$B$23</f>
        <v>8.486017357762778</v>
      </c>
      <c r="M22" s="497">
        <f>'ADU-222'!$B$24</f>
        <v>14.2715</v>
      </c>
      <c r="N22" s="498">
        <f>IF(G22=0,0,M22/(G22-I22)*1000)</f>
        <v>0.14102272727272724</v>
      </c>
      <c r="O22" s="499" t="str">
        <f>'ADU-222'!$E$5</f>
        <v>Terminé</v>
      </c>
      <c r="P22" s="500">
        <f>'ADU-222'!$B$15</f>
        <v>2014</v>
      </c>
      <c r="Q22" s="530">
        <f t="shared" si="50"/>
        <v>14.2715</v>
      </c>
      <c r="R22" s="501">
        <f t="shared" si="1"/>
        <v>0</v>
      </c>
      <c r="S22" s="501">
        <f t="shared" si="2"/>
        <v>0</v>
      </c>
      <c r="T22" s="501">
        <f t="shared" si="3"/>
        <v>0</v>
      </c>
      <c r="U22" s="502">
        <f t="shared" si="4"/>
        <v>0</v>
      </c>
      <c r="V22" s="501">
        <f t="shared" si="5"/>
        <v>14.2715</v>
      </c>
      <c r="W22" s="501">
        <f t="shared" si="6"/>
        <v>0</v>
      </c>
      <c r="X22" s="501">
        <f t="shared" si="7"/>
        <v>0</v>
      </c>
      <c r="Z22" s="504">
        <f t="shared" si="8"/>
        <v>0</v>
      </c>
      <c r="AA22" s="504">
        <f t="shared" si="9"/>
        <v>0</v>
      </c>
      <c r="AB22" s="504">
        <f t="shared" si="10"/>
        <v>0</v>
      </c>
      <c r="AC22" s="504">
        <f t="shared" si="11"/>
        <v>0</v>
      </c>
      <c r="AD22" s="504">
        <f t="shared" si="12"/>
        <v>101200.00000000001</v>
      </c>
      <c r="AE22" s="504">
        <f t="shared" si="13"/>
        <v>0</v>
      </c>
      <c r="AF22" s="504">
        <f t="shared" si="14"/>
        <v>0</v>
      </c>
      <c r="AH22" s="504">
        <f t="shared" si="15"/>
        <v>0</v>
      </c>
      <c r="AI22" s="504">
        <f t="shared" si="16"/>
        <v>0</v>
      </c>
      <c r="AJ22" s="504">
        <f t="shared" si="17"/>
        <v>0</v>
      </c>
      <c r="AK22" s="504">
        <f t="shared" si="18"/>
        <v>0</v>
      </c>
      <c r="AL22" s="504">
        <f t="shared" si="19"/>
        <v>0</v>
      </c>
      <c r="AM22" s="504">
        <f t="shared" si="20"/>
        <v>0</v>
      </c>
      <c r="AN22" s="504">
        <f t="shared" si="21"/>
        <v>0</v>
      </c>
      <c r="AP22" s="504">
        <f t="shared" si="22"/>
        <v>0</v>
      </c>
      <c r="AQ22" s="504">
        <f t="shared" si="23"/>
        <v>0</v>
      </c>
      <c r="AR22" s="504">
        <f t="shared" si="24"/>
        <v>0</v>
      </c>
      <c r="AS22" s="504">
        <f t="shared" si="25"/>
        <v>0</v>
      </c>
      <c r="AT22" s="504">
        <f t="shared" si="26"/>
        <v>9384</v>
      </c>
      <c r="AU22" s="504">
        <f t="shared" si="27"/>
        <v>0</v>
      </c>
      <c r="AV22" s="504">
        <f t="shared" si="28"/>
        <v>0</v>
      </c>
      <c r="AX22" s="504">
        <f t="shared" si="29"/>
        <v>0</v>
      </c>
      <c r="AY22" s="504">
        <f t="shared" si="30"/>
        <v>0</v>
      </c>
      <c r="AZ22" s="504">
        <f t="shared" si="31"/>
        <v>0</v>
      </c>
      <c r="BA22" s="504">
        <f t="shared" si="32"/>
        <v>0</v>
      </c>
      <c r="BB22" s="504">
        <f t="shared" si="33"/>
        <v>2541.5</v>
      </c>
      <c r="BC22" s="504">
        <f t="shared" si="34"/>
        <v>0</v>
      </c>
      <c r="BD22" s="504">
        <f t="shared" si="35"/>
        <v>0</v>
      </c>
      <c r="BF22" s="504">
        <f t="shared" si="36"/>
        <v>0</v>
      </c>
      <c r="BG22" s="504">
        <f t="shared" si="37"/>
        <v>0</v>
      </c>
      <c r="BH22" s="504">
        <f t="shared" si="38"/>
        <v>0</v>
      </c>
      <c r="BI22" s="504">
        <f t="shared" si="39"/>
        <v>0</v>
      </c>
      <c r="BJ22" s="504">
        <f t="shared" si="40"/>
        <v>0</v>
      </c>
      <c r="BK22" s="504">
        <f t="shared" si="41"/>
        <v>101200.00000000001</v>
      </c>
      <c r="BM22" s="504">
        <f t="shared" si="42"/>
        <v>0</v>
      </c>
      <c r="BN22" s="504">
        <f t="shared" si="43"/>
        <v>0</v>
      </c>
      <c r="BO22" s="504">
        <f t="shared" si="44"/>
        <v>0</v>
      </c>
      <c r="BP22" s="504">
        <f t="shared" si="45"/>
        <v>0</v>
      </c>
      <c r="BQ22" s="504">
        <f t="shared" si="46"/>
        <v>0</v>
      </c>
      <c r="BR22" s="504">
        <f t="shared" si="47"/>
        <v>0</v>
      </c>
      <c r="BT22" s="501">
        <f t="shared" si="48"/>
        <v>14.2715</v>
      </c>
      <c r="BU22" s="501">
        <f t="shared" si="49"/>
        <v>0</v>
      </c>
    </row>
    <row r="23" spans="1:73" s="503" customFormat="1" x14ac:dyDescent="0.25">
      <c r="A23" s="771" t="s">
        <v>753</v>
      </c>
      <c r="B23" s="494" t="str">
        <f>'ADU-223'!$B$7</f>
        <v>Installation photovoltaïque</v>
      </c>
      <c r="C23" s="494" t="str">
        <f>'ADU-223'!$B$8</f>
        <v>Installation PhV 150 kWc</v>
      </c>
      <c r="D23" s="494" t="str">
        <f>'ADU-223'!$C$4</f>
        <v>Tertiaire</v>
      </c>
      <c r="E23" s="494" t="str">
        <f>'ADU-223'!$B$11</f>
        <v>Tertiaire</v>
      </c>
      <c r="F23" s="494" t="str">
        <f>'ADU-223'!$B$5</f>
        <v>Fonds propres</v>
      </c>
      <c r="G23" s="495">
        <f>'ADU-223'!$B$16</f>
        <v>330000</v>
      </c>
      <c r="H23" s="494" t="str">
        <f>'ADU-223'!$B$6</f>
        <v>CV</v>
      </c>
      <c r="I23" s="495">
        <f>'ADU-223'!$B$17</f>
        <v>0</v>
      </c>
      <c r="J23" s="495">
        <f>'ADU-223'!$B$20</f>
        <v>30600</v>
      </c>
      <c r="K23" s="495">
        <f>'ADU-223'!$B$21</f>
        <v>8287.5</v>
      </c>
      <c r="L23" s="496">
        <f>'ADU-223'!$B$23</f>
        <v>8.486017357762778</v>
      </c>
      <c r="M23" s="497">
        <f>'ADU-223'!$B$24</f>
        <v>46.537500000000001</v>
      </c>
      <c r="N23" s="498">
        <f>IF(G23=0,0,M23/(G23-I23)*1000)</f>
        <v>0.1410227272727273</v>
      </c>
      <c r="O23" s="499" t="str">
        <f>'ADU-223'!$E$5</f>
        <v>Terminé</v>
      </c>
      <c r="P23" s="500">
        <f>'ADU-223'!$B$15</f>
        <v>2015</v>
      </c>
      <c r="Q23" s="530">
        <f t="shared" si="50"/>
        <v>46.537500000000001</v>
      </c>
      <c r="R23" s="501">
        <f t="shared" si="1"/>
        <v>0</v>
      </c>
      <c r="S23" s="501">
        <f t="shared" si="2"/>
        <v>0</v>
      </c>
      <c r="T23" s="501">
        <f t="shared" si="3"/>
        <v>0</v>
      </c>
      <c r="U23" s="502">
        <f t="shared" si="4"/>
        <v>0</v>
      </c>
      <c r="V23" s="501">
        <f t="shared" si="5"/>
        <v>46.537500000000001</v>
      </c>
      <c r="W23" s="501">
        <f t="shared" si="6"/>
        <v>0</v>
      </c>
      <c r="X23" s="501">
        <f t="shared" si="7"/>
        <v>0</v>
      </c>
      <c r="Z23" s="504">
        <f t="shared" si="8"/>
        <v>0</v>
      </c>
      <c r="AA23" s="504">
        <f t="shared" si="9"/>
        <v>0</v>
      </c>
      <c r="AB23" s="504">
        <f t="shared" si="10"/>
        <v>0</v>
      </c>
      <c r="AC23" s="504">
        <f t="shared" si="11"/>
        <v>0</v>
      </c>
      <c r="AD23" s="504">
        <f t="shared" si="12"/>
        <v>330000</v>
      </c>
      <c r="AE23" s="504">
        <f t="shared" si="13"/>
        <v>0</v>
      </c>
      <c r="AF23" s="504">
        <f t="shared" si="14"/>
        <v>0</v>
      </c>
      <c r="AH23" s="504">
        <f t="shared" si="15"/>
        <v>0</v>
      </c>
      <c r="AI23" s="504">
        <f t="shared" si="16"/>
        <v>0</v>
      </c>
      <c r="AJ23" s="504">
        <f t="shared" si="17"/>
        <v>0</v>
      </c>
      <c r="AK23" s="504">
        <f t="shared" si="18"/>
        <v>0</v>
      </c>
      <c r="AL23" s="504">
        <f t="shared" si="19"/>
        <v>0</v>
      </c>
      <c r="AM23" s="504">
        <f t="shared" si="20"/>
        <v>0</v>
      </c>
      <c r="AN23" s="504">
        <f t="shared" si="21"/>
        <v>0</v>
      </c>
      <c r="AP23" s="504">
        <f t="shared" si="22"/>
        <v>0</v>
      </c>
      <c r="AQ23" s="504">
        <f t="shared" si="23"/>
        <v>0</v>
      </c>
      <c r="AR23" s="504">
        <f t="shared" si="24"/>
        <v>0</v>
      </c>
      <c r="AS23" s="504">
        <f t="shared" si="25"/>
        <v>0</v>
      </c>
      <c r="AT23" s="504">
        <f t="shared" si="26"/>
        <v>30600</v>
      </c>
      <c r="AU23" s="504">
        <f t="shared" si="27"/>
        <v>0</v>
      </c>
      <c r="AV23" s="504">
        <f t="shared" si="28"/>
        <v>0</v>
      </c>
      <c r="AX23" s="504">
        <f t="shared" si="29"/>
        <v>0</v>
      </c>
      <c r="AY23" s="504">
        <f t="shared" si="30"/>
        <v>0</v>
      </c>
      <c r="AZ23" s="504">
        <f t="shared" si="31"/>
        <v>0</v>
      </c>
      <c r="BA23" s="504">
        <f t="shared" si="32"/>
        <v>0</v>
      </c>
      <c r="BB23" s="504">
        <f t="shared" si="33"/>
        <v>8287.5</v>
      </c>
      <c r="BC23" s="504">
        <f t="shared" si="34"/>
        <v>0</v>
      </c>
      <c r="BD23" s="504">
        <f t="shared" si="35"/>
        <v>0</v>
      </c>
      <c r="BF23" s="504">
        <f t="shared" si="36"/>
        <v>0</v>
      </c>
      <c r="BG23" s="504">
        <f t="shared" si="37"/>
        <v>0</v>
      </c>
      <c r="BH23" s="504">
        <f t="shared" si="38"/>
        <v>0</v>
      </c>
      <c r="BI23" s="504">
        <f t="shared" si="39"/>
        <v>0</v>
      </c>
      <c r="BJ23" s="504">
        <f t="shared" si="40"/>
        <v>0</v>
      </c>
      <c r="BK23" s="504">
        <f t="shared" si="41"/>
        <v>330000</v>
      </c>
      <c r="BM23" s="504">
        <f t="shared" si="42"/>
        <v>0</v>
      </c>
      <c r="BN23" s="504">
        <f t="shared" si="43"/>
        <v>0</v>
      </c>
      <c r="BO23" s="504">
        <f t="shared" si="44"/>
        <v>0</v>
      </c>
      <c r="BP23" s="504">
        <f t="shared" si="45"/>
        <v>0</v>
      </c>
      <c r="BQ23" s="504">
        <f t="shared" si="46"/>
        <v>0</v>
      </c>
      <c r="BR23" s="504">
        <f t="shared" si="47"/>
        <v>0</v>
      </c>
      <c r="BT23" s="501">
        <f t="shared" si="48"/>
        <v>46.537500000000001</v>
      </c>
      <c r="BU23" s="501">
        <f t="shared" si="49"/>
        <v>0</v>
      </c>
    </row>
    <row r="24" spans="1:73" s="516" customFormat="1" x14ac:dyDescent="0.25">
      <c r="A24" s="772" t="s">
        <v>91</v>
      </c>
      <c r="B24" s="508" t="str">
        <f>'ADU-3'!$B$7</f>
        <v xml:space="preserve">Valorisation des déchets </v>
      </c>
      <c r="C24" s="508" t="str">
        <f>'ADU-3'!$B$8</f>
        <v>Part communale des centrales biogaz IDELUX</v>
      </c>
      <c r="D24" s="508" t="str">
        <f>'ADU-3'!$C$4</f>
        <v>Territoire</v>
      </c>
      <c r="E24" s="508" t="str">
        <f>'ADU-3'!$B$11</f>
        <v>IDELUX</v>
      </c>
      <c r="F24" s="508" t="str">
        <f>'ADU-3'!$B$5</f>
        <v>Montage</v>
      </c>
      <c r="G24" s="551">
        <f>'ADU-3'!$B$16</f>
        <v>0</v>
      </c>
      <c r="H24" s="508" t="str">
        <f>'ADU-3'!$B$6</f>
        <v>Subs EU</v>
      </c>
      <c r="I24" s="551">
        <f>'ADU-3'!$B$17</f>
        <v>0</v>
      </c>
      <c r="J24" s="551">
        <f>'ADU-3'!$B$20</f>
        <v>68483.520000000004</v>
      </c>
      <c r="K24" s="551">
        <f>'ADU-3'!$B$21</f>
        <v>18547.620000000003</v>
      </c>
      <c r="L24" s="552">
        <f>'ADU-3'!$B$23</f>
        <v>0</v>
      </c>
      <c r="M24" s="553">
        <f>'ADU-3'!$B$24</f>
        <v>325.10444100000001</v>
      </c>
      <c r="N24" s="554">
        <f>IF(G24=0,0,M24/(G24-I24)*1000)</f>
        <v>0</v>
      </c>
      <c r="O24" s="555" t="str">
        <f>'ADU-3'!$E$5</f>
        <v>Terminé</v>
      </c>
      <c r="P24" s="513">
        <f>'ADU-3'!$B$15</f>
        <v>2008</v>
      </c>
      <c r="Q24" s="515">
        <f t="shared" si="50"/>
        <v>325.10444100000001</v>
      </c>
      <c r="R24" s="514">
        <f t="shared" si="1"/>
        <v>325.10444100000001</v>
      </c>
      <c r="S24" s="514">
        <f t="shared" si="2"/>
        <v>0</v>
      </c>
      <c r="T24" s="514">
        <f t="shared" si="3"/>
        <v>0</v>
      </c>
      <c r="U24" s="556">
        <f t="shared" si="4"/>
        <v>0</v>
      </c>
      <c r="V24" s="514">
        <f t="shared" si="5"/>
        <v>0</v>
      </c>
      <c r="W24" s="514">
        <f t="shared" si="6"/>
        <v>0</v>
      </c>
      <c r="X24" s="514">
        <f t="shared" si="7"/>
        <v>0</v>
      </c>
      <c r="Z24" s="507">
        <f t="shared" si="8"/>
        <v>0</v>
      </c>
      <c r="AA24" s="507">
        <f t="shared" si="9"/>
        <v>0</v>
      </c>
      <c r="AB24" s="507">
        <f t="shared" si="10"/>
        <v>0</v>
      </c>
      <c r="AC24" s="507">
        <f t="shared" si="11"/>
        <v>0</v>
      </c>
      <c r="AD24" s="507">
        <f t="shared" si="12"/>
        <v>0</v>
      </c>
      <c r="AE24" s="507">
        <f t="shared" si="13"/>
        <v>0</v>
      </c>
      <c r="AF24" s="507">
        <f t="shared" si="14"/>
        <v>0</v>
      </c>
      <c r="AH24" s="507">
        <f t="shared" si="15"/>
        <v>0</v>
      </c>
      <c r="AI24" s="507">
        <f t="shared" si="16"/>
        <v>0</v>
      </c>
      <c r="AJ24" s="507">
        <f t="shared" si="17"/>
        <v>0</v>
      </c>
      <c r="AK24" s="507">
        <f t="shared" si="18"/>
        <v>0</v>
      </c>
      <c r="AL24" s="507">
        <f t="shared" si="19"/>
        <v>0</v>
      </c>
      <c r="AM24" s="507">
        <f t="shared" si="20"/>
        <v>0</v>
      </c>
      <c r="AN24" s="507">
        <f t="shared" si="21"/>
        <v>0</v>
      </c>
      <c r="AP24" s="507">
        <f t="shared" si="22"/>
        <v>68483.520000000004</v>
      </c>
      <c r="AQ24" s="507">
        <f t="shared" si="23"/>
        <v>0</v>
      </c>
      <c r="AR24" s="507">
        <f t="shared" si="24"/>
        <v>0</v>
      </c>
      <c r="AS24" s="507">
        <f t="shared" si="25"/>
        <v>0</v>
      </c>
      <c r="AT24" s="507">
        <f t="shared" si="26"/>
        <v>0</v>
      </c>
      <c r="AU24" s="507">
        <f t="shared" si="27"/>
        <v>0</v>
      </c>
      <c r="AV24" s="507">
        <f t="shared" si="28"/>
        <v>0</v>
      </c>
      <c r="AX24" s="507">
        <f t="shared" si="29"/>
        <v>18547.620000000003</v>
      </c>
      <c r="AY24" s="507">
        <f t="shared" si="30"/>
        <v>0</v>
      </c>
      <c r="AZ24" s="507">
        <f t="shared" si="31"/>
        <v>0</v>
      </c>
      <c r="BA24" s="507">
        <f t="shared" si="32"/>
        <v>0</v>
      </c>
      <c r="BB24" s="507">
        <f t="shared" si="33"/>
        <v>0</v>
      </c>
      <c r="BC24" s="507">
        <f t="shared" si="34"/>
        <v>0</v>
      </c>
      <c r="BD24" s="507">
        <f t="shared" si="35"/>
        <v>0</v>
      </c>
      <c r="BF24" s="507">
        <f t="shared" si="36"/>
        <v>0</v>
      </c>
      <c r="BG24" s="507">
        <f t="shared" si="37"/>
        <v>0</v>
      </c>
      <c r="BH24" s="507">
        <f t="shared" si="38"/>
        <v>0</v>
      </c>
      <c r="BI24" s="507">
        <f t="shared" si="39"/>
        <v>0</v>
      </c>
      <c r="BJ24" s="507">
        <f t="shared" si="40"/>
        <v>0</v>
      </c>
      <c r="BK24" s="507">
        <f t="shared" si="41"/>
        <v>0</v>
      </c>
      <c r="BM24" s="507">
        <f t="shared" si="42"/>
        <v>0</v>
      </c>
      <c r="BN24" s="507">
        <f t="shared" si="43"/>
        <v>0</v>
      </c>
      <c r="BO24" s="507">
        <f t="shared" si="44"/>
        <v>0</v>
      </c>
      <c r="BP24" s="507">
        <f t="shared" si="45"/>
        <v>0</v>
      </c>
      <c r="BQ24" s="507">
        <f t="shared" si="46"/>
        <v>0</v>
      </c>
      <c r="BR24" s="507">
        <f t="shared" si="47"/>
        <v>0</v>
      </c>
      <c r="BT24" s="514">
        <f t="shared" si="48"/>
        <v>325.10444100000001</v>
      </c>
      <c r="BU24" s="514">
        <f t="shared" si="49"/>
        <v>0</v>
      </c>
    </row>
    <row r="25" spans="1:73" s="503" customFormat="1" x14ac:dyDescent="0.25">
      <c r="A25" s="771" t="s">
        <v>601</v>
      </c>
      <c r="B25" s="494" t="str">
        <f>'ADU-41'!$B$7</f>
        <v>Production d'hydro-électricité</v>
      </c>
      <c r="C25" s="494" t="str">
        <f>'ADU-41'!$B$8</f>
        <v>Centrale hydro-électrique de La Trapperie</v>
      </c>
      <c r="D25" s="494" t="str">
        <f>'ADU-41'!$C$4</f>
        <v>Logement</v>
      </c>
      <c r="E25" s="494" t="str">
        <f>'ADU-41'!$B$11</f>
        <v>Citoyen</v>
      </c>
      <c r="F25" s="494" t="str">
        <f>'ADU-41'!$B$5</f>
        <v>Prêt bancaire</v>
      </c>
      <c r="G25" s="495">
        <f>'ADU-41'!$B$16</f>
        <v>120000</v>
      </c>
      <c r="H25" s="494" t="str">
        <f>'ADU-41'!$B$6</f>
        <v>CV</v>
      </c>
      <c r="I25" s="495">
        <f>'ADU-41'!$B$17</f>
        <v>42000</v>
      </c>
      <c r="J25" s="495">
        <f>'ADU-41'!$B$20</f>
        <v>5800</v>
      </c>
      <c r="K25" s="495">
        <f>'ADU-41'!$B$21</f>
        <v>9425</v>
      </c>
      <c r="L25" s="496">
        <f>'ADU-41'!$B$23</f>
        <v>5.1231527093596059</v>
      </c>
      <c r="M25" s="497">
        <f>'ADU-41'!$B$24</f>
        <v>52.924999999999997</v>
      </c>
      <c r="N25" s="498">
        <f t="shared" si="0"/>
        <v>0.67852564102564106</v>
      </c>
      <c r="O25" s="499" t="str">
        <f>'ADU-41'!$E$5</f>
        <v>Terminé</v>
      </c>
      <c r="P25" s="500">
        <f>'ADU-41'!$B$15</f>
        <v>2009</v>
      </c>
      <c r="Q25" s="530">
        <f t="shared" si="50"/>
        <v>52.924999999999997</v>
      </c>
      <c r="R25" s="501">
        <f t="shared" si="1"/>
        <v>0</v>
      </c>
      <c r="S25" s="501">
        <f t="shared" si="2"/>
        <v>0</v>
      </c>
      <c r="T25" s="501">
        <f t="shared" si="3"/>
        <v>0</v>
      </c>
      <c r="U25" s="502">
        <f t="shared" si="4"/>
        <v>52.924999999999997</v>
      </c>
      <c r="V25" s="501">
        <f t="shared" si="5"/>
        <v>0</v>
      </c>
      <c r="W25" s="501">
        <f t="shared" si="6"/>
        <v>0</v>
      </c>
      <c r="X25" s="501">
        <f t="shared" si="7"/>
        <v>0</v>
      </c>
      <c r="Z25" s="504">
        <f t="shared" si="8"/>
        <v>0</v>
      </c>
      <c r="AA25" s="504">
        <f t="shared" si="9"/>
        <v>0</v>
      </c>
      <c r="AB25" s="504">
        <f t="shared" si="10"/>
        <v>0</v>
      </c>
      <c r="AC25" s="504">
        <f t="shared" si="11"/>
        <v>120000</v>
      </c>
      <c r="AD25" s="504">
        <f t="shared" si="12"/>
        <v>0</v>
      </c>
      <c r="AE25" s="504">
        <f t="shared" si="13"/>
        <v>0</v>
      </c>
      <c r="AF25" s="504">
        <f t="shared" si="14"/>
        <v>0</v>
      </c>
      <c r="AH25" s="504">
        <f t="shared" si="15"/>
        <v>0</v>
      </c>
      <c r="AI25" s="504">
        <f t="shared" si="16"/>
        <v>0</v>
      </c>
      <c r="AJ25" s="504">
        <f t="shared" si="17"/>
        <v>0</v>
      </c>
      <c r="AK25" s="504">
        <f t="shared" si="18"/>
        <v>42000</v>
      </c>
      <c r="AL25" s="504">
        <f t="shared" si="19"/>
        <v>0</v>
      </c>
      <c r="AM25" s="504">
        <f t="shared" si="20"/>
        <v>0</v>
      </c>
      <c r="AN25" s="504">
        <f t="shared" si="21"/>
        <v>0</v>
      </c>
      <c r="AP25" s="504">
        <f t="shared" si="22"/>
        <v>0</v>
      </c>
      <c r="AQ25" s="504">
        <f t="shared" si="23"/>
        <v>0</v>
      </c>
      <c r="AR25" s="504">
        <f t="shared" si="24"/>
        <v>0</v>
      </c>
      <c r="AS25" s="504">
        <f t="shared" si="25"/>
        <v>5800</v>
      </c>
      <c r="AT25" s="504">
        <f t="shared" si="26"/>
        <v>0</v>
      </c>
      <c r="AU25" s="504">
        <f t="shared" si="27"/>
        <v>0</v>
      </c>
      <c r="AV25" s="504">
        <f t="shared" si="28"/>
        <v>0</v>
      </c>
      <c r="AX25" s="504">
        <f t="shared" si="29"/>
        <v>0</v>
      </c>
      <c r="AY25" s="504">
        <f t="shared" si="30"/>
        <v>0</v>
      </c>
      <c r="AZ25" s="504">
        <f t="shared" si="31"/>
        <v>0</v>
      </c>
      <c r="BA25" s="504">
        <f t="shared" si="32"/>
        <v>9425</v>
      </c>
      <c r="BB25" s="504">
        <f t="shared" si="33"/>
        <v>0</v>
      </c>
      <c r="BC25" s="504">
        <f t="shared" si="34"/>
        <v>0</v>
      </c>
      <c r="BD25" s="504">
        <f t="shared" si="35"/>
        <v>0</v>
      </c>
      <c r="BF25" s="504">
        <f t="shared" si="36"/>
        <v>0</v>
      </c>
      <c r="BG25" s="504">
        <f t="shared" si="37"/>
        <v>0</v>
      </c>
      <c r="BH25" s="504">
        <f t="shared" si="38"/>
        <v>120000</v>
      </c>
      <c r="BI25" s="504">
        <f t="shared" si="39"/>
        <v>0</v>
      </c>
      <c r="BJ25" s="504">
        <f t="shared" si="40"/>
        <v>0</v>
      </c>
      <c r="BK25" s="504">
        <f t="shared" si="41"/>
        <v>0</v>
      </c>
      <c r="BM25" s="504">
        <f t="shared" si="42"/>
        <v>0</v>
      </c>
      <c r="BN25" s="504">
        <f t="shared" si="43"/>
        <v>0</v>
      </c>
      <c r="BO25" s="504">
        <f t="shared" si="44"/>
        <v>42000</v>
      </c>
      <c r="BP25" s="504">
        <f t="shared" si="45"/>
        <v>0</v>
      </c>
      <c r="BQ25" s="504">
        <f t="shared" si="46"/>
        <v>0</v>
      </c>
      <c r="BR25" s="504">
        <f t="shared" si="47"/>
        <v>0</v>
      </c>
      <c r="BT25" s="501">
        <f t="shared" si="48"/>
        <v>52.924999999999997</v>
      </c>
      <c r="BU25" s="501">
        <f t="shared" si="49"/>
        <v>0</v>
      </c>
    </row>
    <row r="26" spans="1:73" s="503" customFormat="1" x14ac:dyDescent="0.25">
      <c r="A26" s="771" t="s">
        <v>694</v>
      </c>
      <c r="B26" s="494" t="str">
        <f>'ADU-42'!$B$7</f>
        <v>Production d'hydro-électricité</v>
      </c>
      <c r="C26" s="494" t="str">
        <f>'ADU-42'!$B$8</f>
        <v>Centrale hydro-électrique Anlier</v>
      </c>
      <c r="D26" s="494" t="str">
        <f>'ADU-42'!$C$4</f>
        <v>Logement</v>
      </c>
      <c r="E26" s="494" t="str">
        <f>'ADU-42'!$B$11</f>
        <v>Citoyen</v>
      </c>
      <c r="F26" s="494" t="str">
        <f>'ADU-42'!$B$5</f>
        <v>Prêt bancaire</v>
      </c>
      <c r="G26" s="495">
        <f>'ADU-42'!$B$16</f>
        <v>80000</v>
      </c>
      <c r="H26" s="494" t="str">
        <f>'ADU-42'!$B$6</f>
        <v>CV</v>
      </c>
      <c r="I26" s="495">
        <f>'ADU-42'!$B$17</f>
        <v>28000</v>
      </c>
      <c r="J26" s="495">
        <f>'ADU-42'!$B$20</f>
        <v>1839.6000000000001</v>
      </c>
      <c r="K26" s="495">
        <f>'ADU-42'!$B$21</f>
        <v>2989.35</v>
      </c>
      <c r="L26" s="496">
        <f>'ADU-42'!$B$23</f>
        <v>10.768386502241688</v>
      </c>
      <c r="M26" s="497">
        <f>'ADU-42'!$B$24</f>
        <v>16.786349999999999</v>
      </c>
      <c r="N26" s="498">
        <f>IF(G26=0,0,M26/(G26-I26)*1000)</f>
        <v>0.32281442307692304</v>
      </c>
      <c r="O26" s="499" t="str">
        <f>'ADU-42'!$E$5</f>
        <v>Terminé</v>
      </c>
      <c r="P26" s="500">
        <f>'ADU-42'!$B$15</f>
        <v>2009</v>
      </c>
      <c r="Q26" s="530">
        <f t="shared" si="50"/>
        <v>16.786349999999999</v>
      </c>
      <c r="R26" s="501">
        <f t="shared" si="1"/>
        <v>0</v>
      </c>
      <c r="S26" s="501">
        <f t="shared" si="2"/>
        <v>0</v>
      </c>
      <c r="T26" s="501">
        <f t="shared" si="3"/>
        <v>0</v>
      </c>
      <c r="U26" s="502">
        <f t="shared" si="4"/>
        <v>16.786349999999999</v>
      </c>
      <c r="V26" s="501">
        <f t="shared" si="5"/>
        <v>0</v>
      </c>
      <c r="W26" s="501">
        <f t="shared" si="6"/>
        <v>0</v>
      </c>
      <c r="X26" s="501">
        <f t="shared" si="7"/>
        <v>0</v>
      </c>
      <c r="Z26" s="504">
        <f t="shared" si="8"/>
        <v>0</v>
      </c>
      <c r="AA26" s="504">
        <f t="shared" si="9"/>
        <v>0</v>
      </c>
      <c r="AB26" s="504">
        <f t="shared" si="10"/>
        <v>0</v>
      </c>
      <c r="AC26" s="504">
        <f t="shared" si="11"/>
        <v>80000</v>
      </c>
      <c r="AD26" s="504">
        <f t="shared" si="12"/>
        <v>0</v>
      </c>
      <c r="AE26" s="504">
        <f t="shared" si="13"/>
        <v>0</v>
      </c>
      <c r="AF26" s="504">
        <f t="shared" si="14"/>
        <v>0</v>
      </c>
      <c r="AH26" s="504">
        <f t="shared" si="15"/>
        <v>0</v>
      </c>
      <c r="AI26" s="504">
        <f t="shared" si="16"/>
        <v>0</v>
      </c>
      <c r="AJ26" s="504">
        <f t="shared" si="17"/>
        <v>0</v>
      </c>
      <c r="AK26" s="504">
        <f t="shared" si="18"/>
        <v>28000</v>
      </c>
      <c r="AL26" s="504">
        <f t="shared" si="19"/>
        <v>0</v>
      </c>
      <c r="AM26" s="504">
        <f t="shared" si="20"/>
        <v>0</v>
      </c>
      <c r="AN26" s="504">
        <f t="shared" si="21"/>
        <v>0</v>
      </c>
      <c r="AP26" s="504">
        <f t="shared" si="22"/>
        <v>0</v>
      </c>
      <c r="AQ26" s="504">
        <f t="shared" si="23"/>
        <v>0</v>
      </c>
      <c r="AR26" s="504">
        <f t="shared" si="24"/>
        <v>0</v>
      </c>
      <c r="AS26" s="504">
        <f t="shared" si="25"/>
        <v>1839.6000000000001</v>
      </c>
      <c r="AT26" s="504">
        <f t="shared" si="26"/>
        <v>0</v>
      </c>
      <c r="AU26" s="504">
        <f t="shared" si="27"/>
        <v>0</v>
      </c>
      <c r="AV26" s="504">
        <f t="shared" si="28"/>
        <v>0</v>
      </c>
      <c r="AX26" s="504">
        <f t="shared" si="29"/>
        <v>0</v>
      </c>
      <c r="AY26" s="504">
        <f t="shared" si="30"/>
        <v>0</v>
      </c>
      <c r="AZ26" s="504">
        <f t="shared" si="31"/>
        <v>0</v>
      </c>
      <c r="BA26" s="504">
        <f t="shared" si="32"/>
        <v>2989.35</v>
      </c>
      <c r="BB26" s="504">
        <f t="shared" si="33"/>
        <v>0</v>
      </c>
      <c r="BC26" s="504">
        <f t="shared" si="34"/>
        <v>0</v>
      </c>
      <c r="BD26" s="504">
        <f t="shared" si="35"/>
        <v>0</v>
      </c>
      <c r="BF26" s="504">
        <f t="shared" si="36"/>
        <v>0</v>
      </c>
      <c r="BG26" s="504">
        <f t="shared" si="37"/>
        <v>0</v>
      </c>
      <c r="BH26" s="504">
        <f t="shared" si="38"/>
        <v>80000</v>
      </c>
      <c r="BI26" s="504">
        <f t="shared" si="39"/>
        <v>0</v>
      </c>
      <c r="BJ26" s="504">
        <f t="shared" si="40"/>
        <v>0</v>
      </c>
      <c r="BK26" s="504">
        <f t="shared" si="41"/>
        <v>0</v>
      </c>
      <c r="BM26" s="504">
        <f t="shared" si="42"/>
        <v>0</v>
      </c>
      <c r="BN26" s="504">
        <f t="shared" si="43"/>
        <v>0</v>
      </c>
      <c r="BO26" s="504">
        <f t="shared" si="44"/>
        <v>28000</v>
      </c>
      <c r="BP26" s="504">
        <f t="shared" si="45"/>
        <v>0</v>
      </c>
      <c r="BQ26" s="504">
        <f t="shared" si="46"/>
        <v>0</v>
      </c>
      <c r="BR26" s="504">
        <f t="shared" si="47"/>
        <v>0</v>
      </c>
      <c r="BT26" s="501">
        <f t="shared" si="48"/>
        <v>16.786349999999999</v>
      </c>
      <c r="BU26" s="501">
        <f t="shared" si="49"/>
        <v>0</v>
      </c>
    </row>
    <row r="27" spans="1:73" s="503" customFormat="1" x14ac:dyDescent="0.25">
      <c r="A27" s="771" t="s">
        <v>695</v>
      </c>
      <c r="B27" s="494" t="str">
        <f>'ADU-43'!$B$7</f>
        <v>Production d'hydro-électricité</v>
      </c>
      <c r="C27" s="494" t="str">
        <f>'ADU-43'!$B$8</f>
        <v>Centrale hydro-électrique du Châtelet</v>
      </c>
      <c r="D27" s="494" t="str">
        <f>'ADU-43'!$C$4</f>
        <v>Communal</v>
      </c>
      <c r="E27" s="494" t="str">
        <f>'ADU-43'!$B$11</f>
        <v>AC HABAY</v>
      </c>
      <c r="F27" s="494" t="str">
        <f>'ADU-43'!$B$5</f>
        <v>Prêt bancaire</v>
      </c>
      <c r="G27" s="599">
        <f>'ADU-43'!$B$16</f>
        <v>451000</v>
      </c>
      <c r="H27" s="494" t="str">
        <f>'ADU-43'!$B$6</f>
        <v>CV</v>
      </c>
      <c r="I27" s="495">
        <f>'ADU-43'!$B$17</f>
        <v>0</v>
      </c>
      <c r="J27" s="495">
        <f>'ADU-43'!$B$20</f>
        <v>14729.939999999997</v>
      </c>
      <c r="K27" s="495">
        <f>'ADU-43'!$B$21</f>
        <v>9070.5419999999976</v>
      </c>
      <c r="L27" s="496">
        <f>'ADU-43'!$B$23</f>
        <v>18.949196070903106</v>
      </c>
      <c r="M27" s="497">
        <f>'ADU-43'!$B$24</f>
        <v>28.296989999999994</v>
      </c>
      <c r="N27" s="498">
        <f>IF(G27=0,0,M27/(G27-I27)*1000)</f>
        <v>6.2742771618625265E-2</v>
      </c>
      <c r="O27" s="499" t="str">
        <f>'ADU-43'!$E$5</f>
        <v>Terminé</v>
      </c>
      <c r="P27" s="500">
        <f>'ADU-43'!$B$15</f>
        <v>2017</v>
      </c>
      <c r="Q27" s="530">
        <f t="shared" si="50"/>
        <v>28.296989999999994</v>
      </c>
      <c r="R27" s="501">
        <f t="shared" si="1"/>
        <v>0</v>
      </c>
      <c r="S27" s="501">
        <f t="shared" si="2"/>
        <v>0</v>
      </c>
      <c r="T27" s="501">
        <f t="shared" si="3"/>
        <v>0</v>
      </c>
      <c r="U27" s="502">
        <f t="shared" si="4"/>
        <v>0</v>
      </c>
      <c r="V27" s="501">
        <f t="shared" si="5"/>
        <v>0</v>
      </c>
      <c r="W27" s="501">
        <f t="shared" si="6"/>
        <v>0</v>
      </c>
      <c r="X27" s="501">
        <f t="shared" si="7"/>
        <v>28.296989999999994</v>
      </c>
      <c r="Z27" s="504">
        <f t="shared" si="8"/>
        <v>0</v>
      </c>
      <c r="AA27" s="504">
        <f t="shared" si="9"/>
        <v>0</v>
      </c>
      <c r="AB27" s="504">
        <f t="shared" si="10"/>
        <v>0</v>
      </c>
      <c r="AC27" s="504">
        <f t="shared" si="11"/>
        <v>0</v>
      </c>
      <c r="AD27" s="504">
        <f t="shared" si="12"/>
        <v>0</v>
      </c>
      <c r="AE27" s="504">
        <f t="shared" si="13"/>
        <v>0</v>
      </c>
      <c r="AF27" s="504">
        <f t="shared" si="14"/>
        <v>451000</v>
      </c>
      <c r="AH27" s="504">
        <f t="shared" si="15"/>
        <v>0</v>
      </c>
      <c r="AI27" s="504">
        <f t="shared" si="16"/>
        <v>0</v>
      </c>
      <c r="AJ27" s="504">
        <f t="shared" si="17"/>
        <v>0</v>
      </c>
      <c r="AK27" s="504">
        <f t="shared" si="18"/>
        <v>0</v>
      </c>
      <c r="AL27" s="504">
        <f t="shared" si="19"/>
        <v>0</v>
      </c>
      <c r="AM27" s="504">
        <f t="shared" si="20"/>
        <v>0</v>
      </c>
      <c r="AN27" s="504">
        <f t="shared" si="21"/>
        <v>0</v>
      </c>
      <c r="AP27" s="504">
        <f t="shared" si="22"/>
        <v>0</v>
      </c>
      <c r="AQ27" s="504">
        <f t="shared" si="23"/>
        <v>0</v>
      </c>
      <c r="AR27" s="504">
        <f t="shared" si="24"/>
        <v>0</v>
      </c>
      <c r="AS27" s="504">
        <f t="shared" si="25"/>
        <v>0</v>
      </c>
      <c r="AT27" s="504">
        <f t="shared" si="26"/>
        <v>0</v>
      </c>
      <c r="AU27" s="504">
        <f t="shared" si="27"/>
        <v>0</v>
      </c>
      <c r="AV27" s="504">
        <f t="shared" si="28"/>
        <v>14729.939999999997</v>
      </c>
      <c r="AX27" s="504">
        <f t="shared" si="29"/>
        <v>0</v>
      </c>
      <c r="AY27" s="504">
        <f t="shared" si="30"/>
        <v>0</v>
      </c>
      <c r="AZ27" s="504">
        <f t="shared" si="31"/>
        <v>0</v>
      </c>
      <c r="BA27" s="504">
        <f t="shared" si="32"/>
        <v>0</v>
      </c>
      <c r="BB27" s="504">
        <f t="shared" si="33"/>
        <v>0</v>
      </c>
      <c r="BC27" s="504">
        <f t="shared" si="34"/>
        <v>0</v>
      </c>
      <c r="BD27" s="504">
        <f t="shared" si="35"/>
        <v>9070.5419999999976</v>
      </c>
      <c r="BF27" s="504">
        <f t="shared" si="36"/>
        <v>0</v>
      </c>
      <c r="BG27" s="504">
        <f t="shared" si="37"/>
        <v>0</v>
      </c>
      <c r="BH27" s="504">
        <f t="shared" si="38"/>
        <v>0</v>
      </c>
      <c r="BI27" s="504">
        <f t="shared" si="39"/>
        <v>0</v>
      </c>
      <c r="BJ27" s="504">
        <f t="shared" si="40"/>
        <v>451000</v>
      </c>
      <c r="BK27" s="504">
        <f t="shared" si="41"/>
        <v>0</v>
      </c>
      <c r="BM27" s="504">
        <f t="shared" si="42"/>
        <v>0</v>
      </c>
      <c r="BN27" s="504">
        <f t="shared" si="43"/>
        <v>0</v>
      </c>
      <c r="BO27" s="504">
        <f t="shared" si="44"/>
        <v>0</v>
      </c>
      <c r="BP27" s="504">
        <f t="shared" si="45"/>
        <v>0</v>
      </c>
      <c r="BQ27" s="504">
        <f t="shared" si="46"/>
        <v>0</v>
      </c>
      <c r="BR27" s="504">
        <f t="shared" si="47"/>
        <v>0</v>
      </c>
      <c r="BT27" s="501">
        <f t="shared" si="48"/>
        <v>28.296989999999994</v>
      </c>
      <c r="BU27" s="501">
        <f t="shared" si="49"/>
        <v>0</v>
      </c>
    </row>
    <row r="28" spans="1:73" s="503" customFormat="1" x14ac:dyDescent="0.25">
      <c r="A28" s="771" t="s">
        <v>745</v>
      </c>
      <c r="B28" s="494" t="str">
        <f>'ADU-44'!$B$7</f>
        <v>Production d'hydro-électricité</v>
      </c>
      <c r="C28" s="494" t="str">
        <f>'ADU-44'!$B$8</f>
        <v>Centrale hydro-électrique étang de Bologne</v>
      </c>
      <c r="D28" s="494" t="str">
        <f>'ADU-44'!$C$4</f>
        <v>Communal</v>
      </c>
      <c r="E28" s="494" t="str">
        <f>'ADU-44'!$B$11</f>
        <v>AC HABAY</v>
      </c>
      <c r="F28" s="494" t="str">
        <f>'ADU-44'!$B$5</f>
        <v>Prêt bancaire</v>
      </c>
      <c r="G28" s="599">
        <f>'ADU-44'!$B$16</f>
        <v>220000</v>
      </c>
      <c r="H28" s="494" t="str">
        <f>'ADU-44'!$B$6</f>
        <v>CV</v>
      </c>
      <c r="I28" s="495">
        <f>'ADU-44'!$B$17</f>
        <v>77000</v>
      </c>
      <c r="J28" s="495">
        <f>'ADU-44'!$B$20</f>
        <v>5518.8</v>
      </c>
      <c r="K28" s="495">
        <f>'ADU-44'!$B$21</f>
        <v>8968.0499999999993</v>
      </c>
      <c r="L28" s="496">
        <f>'ADU-44'!$B$23</f>
        <v>9.8710209603882149</v>
      </c>
      <c r="M28" s="497">
        <f>'ADU-44'!$B$24</f>
        <v>50.359049999999996</v>
      </c>
      <c r="N28" s="498">
        <f>IF(G28=0,0,M28/(G28-I28)*1000)</f>
        <v>0.3521611888111888</v>
      </c>
      <c r="O28" s="499" t="str">
        <f>'ADU-44'!$E$5</f>
        <v>A faire</v>
      </c>
      <c r="P28" s="500">
        <f>'ADU-44'!$B$15</f>
        <v>2018</v>
      </c>
      <c r="Q28" s="530" t="str">
        <f t="shared" si="50"/>
        <v/>
      </c>
      <c r="R28" s="501">
        <f t="shared" si="1"/>
        <v>0</v>
      </c>
      <c r="S28" s="501">
        <f t="shared" si="2"/>
        <v>0</v>
      </c>
      <c r="T28" s="501">
        <f t="shared" si="3"/>
        <v>0</v>
      </c>
      <c r="U28" s="502">
        <f t="shared" si="4"/>
        <v>0</v>
      </c>
      <c r="V28" s="501">
        <f t="shared" si="5"/>
        <v>0</v>
      </c>
      <c r="W28" s="501">
        <f t="shared" si="6"/>
        <v>0</v>
      </c>
      <c r="X28" s="501">
        <f t="shared" si="7"/>
        <v>0</v>
      </c>
      <c r="Z28" s="504">
        <f t="shared" si="8"/>
        <v>0</v>
      </c>
      <c r="AA28" s="504">
        <f t="shared" si="9"/>
        <v>0</v>
      </c>
      <c r="AB28" s="504">
        <f t="shared" si="10"/>
        <v>0</v>
      </c>
      <c r="AC28" s="504">
        <f t="shared" si="11"/>
        <v>0</v>
      </c>
      <c r="AD28" s="504">
        <f t="shared" si="12"/>
        <v>0</v>
      </c>
      <c r="AE28" s="504">
        <f t="shared" si="13"/>
        <v>0</v>
      </c>
      <c r="AF28" s="504">
        <f t="shared" si="14"/>
        <v>0</v>
      </c>
      <c r="AH28" s="504">
        <f t="shared" si="15"/>
        <v>0</v>
      </c>
      <c r="AI28" s="504">
        <f t="shared" si="16"/>
        <v>0</v>
      </c>
      <c r="AJ28" s="504">
        <f t="shared" si="17"/>
        <v>0</v>
      </c>
      <c r="AK28" s="504">
        <f t="shared" si="18"/>
        <v>0</v>
      </c>
      <c r="AL28" s="504">
        <f t="shared" si="19"/>
        <v>0</v>
      </c>
      <c r="AM28" s="504">
        <f t="shared" si="20"/>
        <v>0</v>
      </c>
      <c r="AN28" s="504">
        <f t="shared" si="21"/>
        <v>0</v>
      </c>
      <c r="AP28" s="504">
        <f t="shared" si="22"/>
        <v>0</v>
      </c>
      <c r="AQ28" s="504">
        <f t="shared" si="23"/>
        <v>0</v>
      </c>
      <c r="AR28" s="504">
        <f t="shared" si="24"/>
        <v>0</v>
      </c>
      <c r="AS28" s="504">
        <f t="shared" si="25"/>
        <v>0</v>
      </c>
      <c r="AT28" s="504">
        <f t="shared" si="26"/>
        <v>0</v>
      </c>
      <c r="AU28" s="504">
        <f t="shared" si="27"/>
        <v>0</v>
      </c>
      <c r="AV28" s="504">
        <f t="shared" si="28"/>
        <v>0</v>
      </c>
      <c r="AX28" s="504">
        <f t="shared" si="29"/>
        <v>0</v>
      </c>
      <c r="AY28" s="504">
        <f t="shared" si="30"/>
        <v>0</v>
      </c>
      <c r="AZ28" s="504">
        <f t="shared" si="31"/>
        <v>0</v>
      </c>
      <c r="BA28" s="504">
        <f t="shared" si="32"/>
        <v>0</v>
      </c>
      <c r="BB28" s="504">
        <f t="shared" si="33"/>
        <v>0</v>
      </c>
      <c r="BC28" s="504">
        <f t="shared" si="34"/>
        <v>0</v>
      </c>
      <c r="BD28" s="504">
        <f t="shared" si="35"/>
        <v>0</v>
      </c>
      <c r="BF28" s="504">
        <f t="shared" si="36"/>
        <v>0</v>
      </c>
      <c r="BG28" s="504">
        <f t="shared" si="37"/>
        <v>0</v>
      </c>
      <c r="BH28" s="504">
        <f t="shared" si="38"/>
        <v>0</v>
      </c>
      <c r="BI28" s="504">
        <f t="shared" si="39"/>
        <v>0</v>
      </c>
      <c r="BJ28" s="504">
        <f t="shared" si="40"/>
        <v>0</v>
      </c>
      <c r="BK28" s="504">
        <f t="shared" si="41"/>
        <v>0</v>
      </c>
      <c r="BM28" s="504">
        <f t="shared" si="42"/>
        <v>0</v>
      </c>
      <c r="BN28" s="504">
        <f t="shared" si="43"/>
        <v>0</v>
      </c>
      <c r="BO28" s="504">
        <f t="shared" si="44"/>
        <v>0</v>
      </c>
      <c r="BP28" s="504">
        <f t="shared" si="45"/>
        <v>0</v>
      </c>
      <c r="BQ28" s="504">
        <f t="shared" si="46"/>
        <v>0</v>
      </c>
      <c r="BR28" s="504">
        <f t="shared" si="47"/>
        <v>0</v>
      </c>
      <c r="BT28" s="501">
        <f t="shared" si="48"/>
        <v>0</v>
      </c>
      <c r="BU28" s="501">
        <f t="shared" si="49"/>
        <v>50.359049999999996</v>
      </c>
    </row>
    <row r="29" spans="1:73" s="417" customFormat="1" x14ac:dyDescent="0.25">
      <c r="A29" s="768" t="s">
        <v>156</v>
      </c>
      <c r="B29" s="409" t="str">
        <f>'ADU-5'!$B$7</f>
        <v>Projets d'isolation</v>
      </c>
      <c r="C29" s="409" t="str">
        <f>'ADU-5'!$B$8</f>
        <v>Ensemble des projets d'isolation de bâtiments communaux</v>
      </c>
      <c r="D29" s="409" t="str">
        <f>'ADU-5'!$C$4</f>
        <v>Communal</v>
      </c>
      <c r="E29" s="409" t="str">
        <f>'ADU-5'!$B$11</f>
        <v>AC HABAY</v>
      </c>
      <c r="F29" s="409" t="str">
        <f>'ADU-5'!$B$5</f>
        <v>Prêt bancaire</v>
      </c>
      <c r="G29" s="591">
        <f>'ADU-5'!$B$16</f>
        <v>319035</v>
      </c>
      <c r="H29" s="409" t="str">
        <f>'ADU-5'!$B$6</f>
        <v>Subs RW</v>
      </c>
      <c r="I29" s="410">
        <f>'ADU-5'!$B$17</f>
        <v>259056</v>
      </c>
      <c r="J29" s="410">
        <f>'ADU-5'!$B$20</f>
        <v>11782</v>
      </c>
      <c r="K29" s="410">
        <f>'ADU-5'!$B$21</f>
        <v>0</v>
      </c>
      <c r="L29" s="419">
        <f>'ADU-5'!$B$23</f>
        <v>5.0907316245119674</v>
      </c>
      <c r="M29" s="412">
        <f>'ADU-5'!$B$24</f>
        <v>35.756999999999998</v>
      </c>
      <c r="N29" s="413">
        <f t="shared" si="0"/>
        <v>0.59615865552943526</v>
      </c>
      <c r="O29" s="414" t="str">
        <f>'ADU-5'!$E$5</f>
        <v>Terminé</v>
      </c>
      <c r="P29" s="421">
        <f>'ADU-5'!$B$15</f>
        <v>2015</v>
      </c>
      <c r="Q29" s="652">
        <f t="shared" si="50"/>
        <v>35.756999999999998</v>
      </c>
      <c r="R29" s="416">
        <f t="shared" si="1"/>
        <v>0</v>
      </c>
      <c r="S29" s="416">
        <f t="shared" si="2"/>
        <v>0</v>
      </c>
      <c r="T29" s="416">
        <f t="shared" si="3"/>
        <v>0</v>
      </c>
      <c r="U29" s="416">
        <f t="shared" si="4"/>
        <v>0</v>
      </c>
      <c r="V29" s="416">
        <f t="shared" si="5"/>
        <v>0</v>
      </c>
      <c r="W29" s="416">
        <f t="shared" si="6"/>
        <v>0</v>
      </c>
      <c r="X29" s="550">
        <f t="shared" si="7"/>
        <v>35.756999999999998</v>
      </c>
      <c r="Z29" s="418">
        <f t="shared" si="8"/>
        <v>0</v>
      </c>
      <c r="AA29" s="418">
        <f t="shared" si="9"/>
        <v>0</v>
      </c>
      <c r="AB29" s="418">
        <f t="shared" si="10"/>
        <v>0</v>
      </c>
      <c r="AC29" s="418">
        <f t="shared" si="11"/>
        <v>0</v>
      </c>
      <c r="AD29" s="418">
        <f t="shared" si="12"/>
        <v>0</v>
      </c>
      <c r="AE29" s="418">
        <f t="shared" si="13"/>
        <v>0</v>
      </c>
      <c r="AF29" s="418">
        <f t="shared" si="14"/>
        <v>319035</v>
      </c>
      <c r="AH29" s="418">
        <f t="shared" si="15"/>
        <v>0</v>
      </c>
      <c r="AI29" s="418">
        <f t="shared" si="16"/>
        <v>0</v>
      </c>
      <c r="AJ29" s="418">
        <f t="shared" si="17"/>
        <v>0</v>
      </c>
      <c r="AK29" s="418">
        <f t="shared" si="18"/>
        <v>0</v>
      </c>
      <c r="AL29" s="418">
        <f t="shared" si="19"/>
        <v>0</v>
      </c>
      <c r="AM29" s="418">
        <f t="shared" si="20"/>
        <v>0</v>
      </c>
      <c r="AN29" s="418">
        <f t="shared" si="21"/>
        <v>259056</v>
      </c>
      <c r="AP29" s="418">
        <f t="shared" si="22"/>
        <v>0</v>
      </c>
      <c r="AQ29" s="418">
        <f t="shared" si="23"/>
        <v>0</v>
      </c>
      <c r="AR29" s="418">
        <f t="shared" si="24"/>
        <v>0</v>
      </c>
      <c r="AS29" s="418">
        <f t="shared" si="25"/>
        <v>0</v>
      </c>
      <c r="AT29" s="418">
        <f t="shared" si="26"/>
        <v>0</v>
      </c>
      <c r="AU29" s="418">
        <f t="shared" si="27"/>
        <v>0</v>
      </c>
      <c r="AV29" s="418">
        <f t="shared" si="28"/>
        <v>11782</v>
      </c>
      <c r="AX29" s="418">
        <f t="shared" si="29"/>
        <v>0</v>
      </c>
      <c r="AY29" s="418">
        <f t="shared" si="30"/>
        <v>0</v>
      </c>
      <c r="AZ29" s="418">
        <f t="shared" si="31"/>
        <v>0</v>
      </c>
      <c r="BA29" s="418">
        <f t="shared" si="32"/>
        <v>0</v>
      </c>
      <c r="BB29" s="418">
        <f t="shared" si="33"/>
        <v>0</v>
      </c>
      <c r="BC29" s="418">
        <f t="shared" si="34"/>
        <v>0</v>
      </c>
      <c r="BD29" s="418">
        <f t="shared" si="35"/>
        <v>0</v>
      </c>
      <c r="BF29" s="418">
        <f t="shared" si="36"/>
        <v>0</v>
      </c>
      <c r="BG29" s="418">
        <f t="shared" si="37"/>
        <v>0</v>
      </c>
      <c r="BH29" s="418">
        <f t="shared" si="38"/>
        <v>0</v>
      </c>
      <c r="BI29" s="418">
        <f t="shared" si="39"/>
        <v>0</v>
      </c>
      <c r="BJ29" s="418">
        <f t="shared" si="40"/>
        <v>319035</v>
      </c>
      <c r="BK29" s="418">
        <f t="shared" si="41"/>
        <v>0</v>
      </c>
      <c r="BM29" s="418">
        <f t="shared" si="42"/>
        <v>0</v>
      </c>
      <c r="BN29" s="418">
        <f t="shared" si="43"/>
        <v>0</v>
      </c>
      <c r="BO29" s="418">
        <f t="shared" si="44"/>
        <v>0</v>
      </c>
      <c r="BP29" s="418">
        <f t="shared" si="45"/>
        <v>0</v>
      </c>
      <c r="BQ29" s="418">
        <f t="shared" si="46"/>
        <v>259056</v>
      </c>
      <c r="BR29" s="418">
        <f t="shared" si="47"/>
        <v>0</v>
      </c>
      <c r="BT29" s="416">
        <f t="shared" si="48"/>
        <v>35.756999999999998</v>
      </c>
      <c r="BU29" s="416">
        <f t="shared" si="49"/>
        <v>0</v>
      </c>
    </row>
    <row r="30" spans="1:73" s="417" customFormat="1" x14ac:dyDescent="0.25">
      <c r="A30" s="756" t="s">
        <v>939</v>
      </c>
      <c r="B30" s="521" t="str">
        <f>'ADU-51'!$B$7</f>
        <v>Commerces</v>
      </c>
      <c r="C30" s="521" t="str">
        <f>'ADU-51'!$B$8</f>
        <v>Récupération d'énergie</v>
      </c>
      <c r="D30" s="521" t="str">
        <f>'ADU-51'!$C$4</f>
        <v>Tertiaire</v>
      </c>
      <c r="E30" s="521" t="str">
        <f>'ADU-51'!$B$11</f>
        <v>Tertiaire</v>
      </c>
      <c r="F30" s="521" t="str">
        <f>'ADU-51'!$B$5</f>
        <v>Prêt bancaire</v>
      </c>
      <c r="G30" s="757">
        <f>'ADU-51'!$B$16</f>
        <v>50000</v>
      </c>
      <c r="H30" s="521" t="str">
        <f>'ADU-51'!$B$6</f>
        <v>Subs RW</v>
      </c>
      <c r="I30" s="563">
        <f>'ADU-51'!$B$17</f>
        <v>0</v>
      </c>
      <c r="J30" s="563">
        <f>'ADU-51'!$B$20</f>
        <v>3288</v>
      </c>
      <c r="K30" s="563">
        <f>'ADU-51'!$B$21</f>
        <v>0</v>
      </c>
      <c r="L30" s="564">
        <f>'ADU-51'!$B$23</f>
        <v>15.206812652068127</v>
      </c>
      <c r="M30" s="565">
        <f>'ADU-51'!$B$24</f>
        <v>0</v>
      </c>
      <c r="N30" s="566">
        <f t="shared" ref="N30:N32" si="54">IF(G30=0,0,M30/(G30-I30)*1000)</f>
        <v>0</v>
      </c>
      <c r="O30" s="414" t="str">
        <f>'ADU-51'!$E$5</f>
        <v>Terminé</v>
      </c>
      <c r="P30" s="522">
        <f>'ADU-51'!$B$15</f>
        <v>2017</v>
      </c>
      <c r="Q30" s="654">
        <f t="shared" ref="Q30:Q32" si="55">IF(O30="terminé", M30,"")</f>
        <v>0</v>
      </c>
      <c r="R30" s="523">
        <f t="shared" ref="R30:R32" si="56">IF((O30="Terminé")*AND(D30="Territoire"),M30,0)</f>
        <v>0</v>
      </c>
      <c r="S30" s="523">
        <f t="shared" ref="S30:S32" si="57">IF((O30="Terminé")*AND(D30="Agriculture"),M30,0)</f>
        <v>0</v>
      </c>
      <c r="T30" s="523">
        <f t="shared" ref="T30:T32" si="58">IF((O30="Terminé")*AND(D30="Industrie"), M30,0)</f>
        <v>0</v>
      </c>
      <c r="U30" s="523">
        <f t="shared" ref="U30:U32" si="59">IF((O30="Terminé")*AND(D30="Logement"),M30,0)</f>
        <v>0</v>
      </c>
      <c r="V30" s="416">
        <f t="shared" ref="V30:V32" si="60">IF((O30="Terminé")*AND(D30="Tertiaire"),M30,0)</f>
        <v>0</v>
      </c>
      <c r="W30" s="416">
        <f t="shared" ref="W30:W32" si="61">IF((O30="Terminé")*AND(D30="Transport"),M30,0)</f>
        <v>0</v>
      </c>
      <c r="X30" s="550">
        <f t="shared" ref="X30:X32" si="62">IF((O30="Terminé")*AND(D30="Communal"),M30,0)</f>
        <v>0</v>
      </c>
      <c r="Z30" s="418">
        <f t="shared" ref="Z30:Z32" si="63">IF((O30="Terminé")*AND(D30="Territoire"),G30,0)</f>
        <v>0</v>
      </c>
      <c r="AA30" s="418">
        <f t="shared" ref="AA30:AA32" si="64">IF((O30="Terminé")*AND(D30="Agriculture"),G30,0)</f>
        <v>0</v>
      </c>
      <c r="AB30" s="418">
        <f t="shared" ref="AB30:AB32" si="65">IF((O30="Terminé")*AND(D30="Industrie"), G30,0)</f>
        <v>0</v>
      </c>
      <c r="AC30" s="418">
        <f t="shared" ref="AC30:AC32" si="66">IF((O30="Terminé")*AND(D30="Logement"), G30,0)</f>
        <v>0</v>
      </c>
      <c r="AD30" s="418">
        <f t="shared" ref="AD30:AD32" si="67">IF((O30="Terminé")*AND(D30="Tertiaire"),G30,0)</f>
        <v>50000</v>
      </c>
      <c r="AE30" s="418">
        <f t="shared" ref="AE30:AE32" si="68">IF((O30="Terminé")*AND(D30="Transport"),G30,0)</f>
        <v>0</v>
      </c>
      <c r="AF30" s="418">
        <f t="shared" ref="AF30:AF32" si="69">IF((O30="Terminé")*AND(D30="Communal"),G30,0)</f>
        <v>0</v>
      </c>
      <c r="AH30" s="418">
        <f t="shared" ref="AH30:AH32" si="70">IF((O30="Terminé")*AND(D30="Territoire"),I30,0)</f>
        <v>0</v>
      </c>
      <c r="AI30" s="418">
        <f t="shared" ref="AI30:AI32" si="71">IF((O30="Terminé")*AND(D30="Agriculture"),I30,0)</f>
        <v>0</v>
      </c>
      <c r="AJ30" s="418">
        <f t="shared" ref="AJ30:AJ32" si="72">IF((O30="Terminé")*AND(D30="Industrie"), I30,0)</f>
        <v>0</v>
      </c>
      <c r="AK30" s="418">
        <f t="shared" ref="AK30:AK32" si="73">IF((O30="Terminé")*AND(D30="Logement"), I30,0)</f>
        <v>0</v>
      </c>
      <c r="AL30" s="418">
        <f t="shared" ref="AL30:AL32" si="74">IF((O30="Terminé")*AND(D30="Tertiaire"),I30,0)</f>
        <v>0</v>
      </c>
      <c r="AM30" s="418">
        <f t="shared" ref="AM30:AM32" si="75">IF((O30="Terminé")*AND(D30="Transport"),I30,0)</f>
        <v>0</v>
      </c>
      <c r="AN30" s="418">
        <f t="shared" ref="AN30:AN32" si="76">IF((O30="Terminé")*AND(D30="Communal"),I30,0)</f>
        <v>0</v>
      </c>
      <c r="AP30" s="418">
        <f t="shared" ref="AP30:AP32" si="77">IF((O30="Terminé")*AND(D30="Territoire"),J30,0)</f>
        <v>0</v>
      </c>
      <c r="AQ30" s="418">
        <f t="shared" ref="AQ30:AQ32" si="78">IF((O30="Terminé")*AND(D30="Agriculture"),J30,0)</f>
        <v>0</v>
      </c>
      <c r="AR30" s="418">
        <f t="shared" ref="AR30:AR32" si="79">IF((O30="Terminé")*AND(D30="Industrie"), J30,0)</f>
        <v>0</v>
      </c>
      <c r="AS30" s="418">
        <f t="shared" ref="AS30:AS32" si="80">IF((O30="Terminé")*AND(D30="Logement"), J30,0)</f>
        <v>0</v>
      </c>
      <c r="AT30" s="418">
        <f t="shared" ref="AT30:AT32" si="81">IF((O30="Terminé")*AND(D30="Tertiaire"),J30,0)</f>
        <v>3288</v>
      </c>
      <c r="AU30" s="418">
        <f t="shared" ref="AU30:AU32" si="82">IF((O30="Terminé")*AND(D30="Transport"),J30,0)</f>
        <v>0</v>
      </c>
      <c r="AV30" s="418">
        <f t="shared" ref="AV30:AV32" si="83">IF((O30="Terminé")*AND(D30="Communal"),J30,0)</f>
        <v>0</v>
      </c>
      <c r="AX30" s="418">
        <f t="shared" ref="AX30:AX32" si="84">IF((O30="Terminé")*AND(D30="Territoire"),K30,0)</f>
        <v>0</v>
      </c>
      <c r="AY30" s="418">
        <f t="shared" ref="AY30:AY32" si="85">IF((O30="Terminé")*AND(D30="Agriculture"),K30,0)</f>
        <v>0</v>
      </c>
      <c r="AZ30" s="418">
        <f t="shared" ref="AZ30:AZ32" si="86">IF((O30="Terminé")*AND(D30="Industrie"), K30,0)</f>
        <v>0</v>
      </c>
      <c r="BA30" s="418">
        <f t="shared" ref="BA30:BA32" si="87">IF((O30="Terminé")*AND(D30="Logement"), K30,0)</f>
        <v>0</v>
      </c>
      <c r="BB30" s="418">
        <f t="shared" ref="BB30:BB32" si="88">IF((O30="Terminé")*AND(D30="Tertiaire"),K30,0)</f>
        <v>0</v>
      </c>
      <c r="BC30" s="418">
        <f t="shared" ref="BC30:BC32" si="89">IF((O30="Terminé")*AND(D30="Transport"),K30,0)</f>
        <v>0</v>
      </c>
      <c r="BD30" s="418">
        <f t="shared" ref="BD30:BD32" si="90">IF((O30="Terminé")*AND(D30="Communal"),K30,0)</f>
        <v>0</v>
      </c>
      <c r="BF30" s="418">
        <f t="shared" ref="BF30:BF32" si="91">IF((O30="Terminé")*AND(E30="Agriculture"),G30,0)</f>
        <v>0</v>
      </c>
      <c r="BG30" s="418">
        <f t="shared" ref="BG30:BG32" si="92">IF((O30="Terminé")*AND(E30="Industrie"),G30,0)</f>
        <v>0</v>
      </c>
      <c r="BH30" s="418">
        <f t="shared" ref="BH30:BH32" si="93">IF((O30="Terminé")*AND(E30="Citoyen"), G30,0)</f>
        <v>0</v>
      </c>
      <c r="BI30" s="418">
        <f t="shared" ref="BI30:BI32" si="94">IF((O30="Terminé")*AND(E30="IDELUX"), G30,0)</f>
        <v>0</v>
      </c>
      <c r="BJ30" s="418">
        <f t="shared" ref="BJ30:BJ32" si="95">IF((O30="Terminé")*AND(E30="AC HABAY"),G30,0)</f>
        <v>0</v>
      </c>
      <c r="BK30" s="418">
        <f t="shared" ref="BK30:BK32" si="96">IF((O30="Terminé")*AND(E30="Tertiaire"),G30,0)</f>
        <v>50000</v>
      </c>
      <c r="BM30" s="418">
        <f t="shared" ref="BM30:BM32" si="97">IF((O30="Terminé")*AND(E30="Agriculture"),I30,0)</f>
        <v>0</v>
      </c>
      <c r="BN30" s="418">
        <f t="shared" ref="BN30:BN32" si="98">IF((O30="Terminé")*AND(E30="Industrie"),I30,0)</f>
        <v>0</v>
      </c>
      <c r="BO30" s="418">
        <f t="shared" ref="BO30:BO32" si="99">IF((O30="Terminé")*AND(E30="Citoyen"), I30,0)</f>
        <v>0</v>
      </c>
      <c r="BP30" s="418">
        <f t="shared" ref="BP30:BP32" si="100">IF((O30="Terminé")*AND(E30="IDELUX"), I30,0)</f>
        <v>0</v>
      </c>
      <c r="BQ30" s="418">
        <f t="shared" ref="BQ30:BQ32" si="101">IF((O30="Terminé")*AND(E30="AC HABAY"),I30,0)</f>
        <v>0</v>
      </c>
      <c r="BR30" s="418">
        <f t="shared" ref="BR30:BR32" si="102">IF((O30="Terminé")*AND(E30="Tertiaire"),I30,0)</f>
        <v>0</v>
      </c>
      <c r="BT30" s="416">
        <f t="shared" ref="BT30:BT32" si="103">IF((O30="Terminé"),M30,0)</f>
        <v>0</v>
      </c>
      <c r="BU30" s="416">
        <f t="shared" ref="BU30:BU32" si="104">IF((O30="A faire"),M30,0)</f>
        <v>0</v>
      </c>
    </row>
    <row r="31" spans="1:73" s="417" customFormat="1" x14ac:dyDescent="0.25">
      <c r="A31" s="786" t="s">
        <v>947</v>
      </c>
      <c r="B31" s="409" t="str">
        <f>'ADU-52'!$B$7</f>
        <v>Piscine</v>
      </c>
      <c r="C31" s="409" t="str">
        <f>'ADU-52'!$B$8</f>
        <v>Récupération et économie d'énergie</v>
      </c>
      <c r="D31" s="409" t="str">
        <f>'ADU-52'!$C$4</f>
        <v>Communal</v>
      </c>
      <c r="E31" s="409" t="str">
        <f>'ADU-52'!$B$11</f>
        <v>AC HABAY</v>
      </c>
      <c r="F31" s="409" t="str">
        <f>'ADU-52'!$B$5</f>
        <v>Prêt bancaire</v>
      </c>
      <c r="G31" s="591">
        <f>'ADU-52'!$B$16</f>
        <v>100000</v>
      </c>
      <c r="H31" s="409" t="str">
        <f>'ADU-52'!$B$6</f>
        <v>Subs RW</v>
      </c>
      <c r="I31" s="410">
        <f>'ADU-52'!$B$17</f>
        <v>0</v>
      </c>
      <c r="J31" s="410">
        <f>'ADU-52'!$B$20</f>
        <v>15984</v>
      </c>
      <c r="K31" s="410">
        <f>'ADU-52'!$B$21</f>
        <v>0</v>
      </c>
      <c r="L31" s="419">
        <f>'ADU-52'!$B$23</f>
        <v>6.2562562562562567</v>
      </c>
      <c r="M31" s="412">
        <f>'ADU-52'!$B$24</f>
        <v>7.7922000000000011</v>
      </c>
      <c r="N31" s="413">
        <f t="shared" si="54"/>
        <v>7.7922000000000019E-2</v>
      </c>
      <c r="O31" s="414" t="str">
        <f>'ADU-52'!$E$5</f>
        <v>Terminé</v>
      </c>
      <c r="P31" s="421">
        <f>'ADU-52'!$B$15</f>
        <v>2017</v>
      </c>
      <c r="Q31" s="652">
        <f t="shared" si="55"/>
        <v>7.7922000000000011</v>
      </c>
      <c r="R31" s="416">
        <f t="shared" si="56"/>
        <v>0</v>
      </c>
      <c r="S31" s="416">
        <f t="shared" si="57"/>
        <v>0</v>
      </c>
      <c r="T31" s="416">
        <f t="shared" si="58"/>
        <v>0</v>
      </c>
      <c r="U31" s="416">
        <f t="shared" si="59"/>
        <v>0</v>
      </c>
      <c r="V31" s="416">
        <f t="shared" si="60"/>
        <v>0</v>
      </c>
      <c r="W31" s="416">
        <f t="shared" si="61"/>
        <v>0</v>
      </c>
      <c r="X31" s="550">
        <f t="shared" si="62"/>
        <v>7.7922000000000011</v>
      </c>
      <c r="Z31" s="418">
        <f t="shared" si="63"/>
        <v>0</v>
      </c>
      <c r="AA31" s="418">
        <f t="shared" si="64"/>
        <v>0</v>
      </c>
      <c r="AB31" s="418">
        <f t="shared" si="65"/>
        <v>0</v>
      </c>
      <c r="AC31" s="418">
        <f t="shared" si="66"/>
        <v>0</v>
      </c>
      <c r="AD31" s="418">
        <f t="shared" si="67"/>
        <v>0</v>
      </c>
      <c r="AE31" s="418">
        <f t="shared" si="68"/>
        <v>0</v>
      </c>
      <c r="AF31" s="418">
        <f t="shared" si="69"/>
        <v>100000</v>
      </c>
      <c r="AH31" s="418">
        <f t="shared" si="70"/>
        <v>0</v>
      </c>
      <c r="AI31" s="418">
        <f t="shared" si="71"/>
        <v>0</v>
      </c>
      <c r="AJ31" s="418">
        <f t="shared" si="72"/>
        <v>0</v>
      </c>
      <c r="AK31" s="418">
        <f t="shared" si="73"/>
        <v>0</v>
      </c>
      <c r="AL31" s="418">
        <f t="shared" si="74"/>
        <v>0</v>
      </c>
      <c r="AM31" s="418">
        <f t="shared" si="75"/>
        <v>0</v>
      </c>
      <c r="AN31" s="418">
        <f t="shared" si="76"/>
        <v>0</v>
      </c>
      <c r="AP31" s="418">
        <f t="shared" si="77"/>
        <v>0</v>
      </c>
      <c r="AQ31" s="418">
        <f t="shared" si="78"/>
        <v>0</v>
      </c>
      <c r="AR31" s="418">
        <f t="shared" si="79"/>
        <v>0</v>
      </c>
      <c r="AS31" s="418">
        <f t="shared" si="80"/>
        <v>0</v>
      </c>
      <c r="AT31" s="418">
        <f t="shared" si="81"/>
        <v>0</v>
      </c>
      <c r="AU31" s="418">
        <f t="shared" si="82"/>
        <v>0</v>
      </c>
      <c r="AV31" s="418">
        <f t="shared" si="83"/>
        <v>15984</v>
      </c>
      <c r="AX31" s="418">
        <f t="shared" si="84"/>
        <v>0</v>
      </c>
      <c r="AY31" s="418">
        <f t="shared" si="85"/>
        <v>0</v>
      </c>
      <c r="AZ31" s="418">
        <f t="shared" si="86"/>
        <v>0</v>
      </c>
      <c r="BA31" s="418">
        <f t="shared" si="87"/>
        <v>0</v>
      </c>
      <c r="BB31" s="418">
        <f t="shared" si="88"/>
        <v>0</v>
      </c>
      <c r="BC31" s="418">
        <f t="shared" si="89"/>
        <v>0</v>
      </c>
      <c r="BD31" s="418">
        <f t="shared" si="90"/>
        <v>0</v>
      </c>
      <c r="BF31" s="418">
        <f t="shared" si="91"/>
        <v>0</v>
      </c>
      <c r="BG31" s="418">
        <f t="shared" si="92"/>
        <v>0</v>
      </c>
      <c r="BH31" s="418">
        <f t="shared" si="93"/>
        <v>0</v>
      </c>
      <c r="BI31" s="418">
        <f t="shared" si="94"/>
        <v>0</v>
      </c>
      <c r="BJ31" s="418">
        <f t="shared" si="95"/>
        <v>100000</v>
      </c>
      <c r="BK31" s="418">
        <f t="shared" si="96"/>
        <v>0</v>
      </c>
      <c r="BM31" s="418">
        <f t="shared" si="97"/>
        <v>0</v>
      </c>
      <c r="BN31" s="418">
        <f t="shared" si="98"/>
        <v>0</v>
      </c>
      <c r="BO31" s="418">
        <f t="shared" si="99"/>
        <v>0</v>
      </c>
      <c r="BP31" s="418">
        <f t="shared" si="100"/>
        <v>0</v>
      </c>
      <c r="BQ31" s="418">
        <f t="shared" si="101"/>
        <v>0</v>
      </c>
      <c r="BR31" s="418">
        <f t="shared" si="102"/>
        <v>0</v>
      </c>
      <c r="BT31" s="416">
        <f t="shared" si="103"/>
        <v>7.7922000000000011</v>
      </c>
      <c r="BU31" s="416">
        <f t="shared" si="104"/>
        <v>0</v>
      </c>
    </row>
    <row r="32" spans="1:73" s="417" customFormat="1" x14ac:dyDescent="0.25">
      <c r="A32" s="756" t="s">
        <v>964</v>
      </c>
      <c r="B32" s="521" t="str">
        <f>'ADU-53'!$B$7</f>
        <v>Ecole de l'Etat Marbehan</v>
      </c>
      <c r="C32" s="521" t="str">
        <f>'ADU-53'!$B$8</f>
        <v>Chaudière et économie d'énergie</v>
      </c>
      <c r="D32" s="521" t="str">
        <f>'ADU-53'!$C$4</f>
        <v>Tertiaire</v>
      </c>
      <c r="E32" s="521" t="str">
        <f>'ADU-53'!$B$11</f>
        <v>Tertiaire</v>
      </c>
      <c r="F32" s="521" t="str">
        <f>'ADU-53'!$B$5</f>
        <v>Prêt bancaire</v>
      </c>
      <c r="G32" s="757">
        <f>'ADU-53'!$B$16</f>
        <v>200000</v>
      </c>
      <c r="H32" s="521" t="str">
        <f>'ADU-53'!$B$6</f>
        <v>Subs RW</v>
      </c>
      <c r="I32" s="563">
        <f>'ADU-53'!$B$17</f>
        <v>140000</v>
      </c>
      <c r="J32" s="563">
        <f>'ADU-53'!$B$20</f>
        <v>7000</v>
      </c>
      <c r="K32" s="563">
        <f>'ADU-53'!$B$21</f>
        <v>0</v>
      </c>
      <c r="L32" s="564">
        <f>'ADU-53'!$B$23</f>
        <v>8.5714285714285712</v>
      </c>
      <c r="M32" s="565">
        <f>'ADU-53'!$B$24</f>
        <v>26.1</v>
      </c>
      <c r="N32" s="566">
        <f t="shared" si="54"/>
        <v>0.435</v>
      </c>
      <c r="O32" s="414" t="str">
        <f>'ADU-53'!$E$5</f>
        <v>Terminé</v>
      </c>
      <c r="P32" s="522">
        <f>'ADU-53'!$B$15</f>
        <v>2017</v>
      </c>
      <c r="Q32" s="654">
        <f t="shared" si="55"/>
        <v>26.1</v>
      </c>
      <c r="R32" s="523">
        <f t="shared" si="56"/>
        <v>0</v>
      </c>
      <c r="S32" s="523">
        <f t="shared" si="57"/>
        <v>0</v>
      </c>
      <c r="T32" s="523">
        <f t="shared" si="58"/>
        <v>0</v>
      </c>
      <c r="U32" s="523">
        <f t="shared" si="59"/>
        <v>0</v>
      </c>
      <c r="V32" s="416">
        <f t="shared" si="60"/>
        <v>26.1</v>
      </c>
      <c r="W32" s="416">
        <f t="shared" si="61"/>
        <v>0</v>
      </c>
      <c r="X32" s="550">
        <f t="shared" si="62"/>
        <v>0</v>
      </c>
      <c r="Z32" s="418">
        <f t="shared" si="63"/>
        <v>0</v>
      </c>
      <c r="AA32" s="418">
        <f t="shared" si="64"/>
        <v>0</v>
      </c>
      <c r="AB32" s="418">
        <f t="shared" si="65"/>
        <v>0</v>
      </c>
      <c r="AC32" s="418">
        <f t="shared" si="66"/>
        <v>0</v>
      </c>
      <c r="AD32" s="418">
        <f t="shared" si="67"/>
        <v>200000</v>
      </c>
      <c r="AE32" s="418">
        <f t="shared" si="68"/>
        <v>0</v>
      </c>
      <c r="AF32" s="418">
        <f t="shared" si="69"/>
        <v>0</v>
      </c>
      <c r="AH32" s="418">
        <f t="shared" si="70"/>
        <v>0</v>
      </c>
      <c r="AI32" s="418">
        <f t="shared" si="71"/>
        <v>0</v>
      </c>
      <c r="AJ32" s="418">
        <f t="shared" si="72"/>
        <v>0</v>
      </c>
      <c r="AK32" s="418">
        <f t="shared" si="73"/>
        <v>0</v>
      </c>
      <c r="AL32" s="418">
        <f t="shared" si="74"/>
        <v>140000</v>
      </c>
      <c r="AM32" s="418">
        <f t="shared" si="75"/>
        <v>0</v>
      </c>
      <c r="AN32" s="418">
        <f t="shared" si="76"/>
        <v>0</v>
      </c>
      <c r="AP32" s="418">
        <f t="shared" si="77"/>
        <v>0</v>
      </c>
      <c r="AQ32" s="418">
        <f t="shared" si="78"/>
        <v>0</v>
      </c>
      <c r="AR32" s="418">
        <f t="shared" si="79"/>
        <v>0</v>
      </c>
      <c r="AS32" s="418">
        <f t="shared" si="80"/>
        <v>0</v>
      </c>
      <c r="AT32" s="418">
        <f t="shared" si="81"/>
        <v>7000</v>
      </c>
      <c r="AU32" s="418">
        <f t="shared" si="82"/>
        <v>0</v>
      </c>
      <c r="AV32" s="418">
        <f t="shared" si="83"/>
        <v>0</v>
      </c>
      <c r="AX32" s="418">
        <f t="shared" si="84"/>
        <v>0</v>
      </c>
      <c r="AY32" s="418">
        <f t="shared" si="85"/>
        <v>0</v>
      </c>
      <c r="AZ32" s="418">
        <f t="shared" si="86"/>
        <v>0</v>
      </c>
      <c r="BA32" s="418">
        <f t="shared" si="87"/>
        <v>0</v>
      </c>
      <c r="BB32" s="418">
        <f t="shared" si="88"/>
        <v>0</v>
      </c>
      <c r="BC32" s="418">
        <f t="shared" si="89"/>
        <v>0</v>
      </c>
      <c r="BD32" s="418">
        <f t="shared" si="90"/>
        <v>0</v>
      </c>
      <c r="BF32" s="418">
        <f t="shared" si="91"/>
        <v>0</v>
      </c>
      <c r="BG32" s="418">
        <f t="shared" si="92"/>
        <v>0</v>
      </c>
      <c r="BH32" s="418">
        <f t="shared" si="93"/>
        <v>0</v>
      </c>
      <c r="BI32" s="418">
        <f t="shared" si="94"/>
        <v>0</v>
      </c>
      <c r="BJ32" s="418">
        <f t="shared" si="95"/>
        <v>0</v>
      </c>
      <c r="BK32" s="418">
        <f t="shared" si="96"/>
        <v>200000</v>
      </c>
      <c r="BM32" s="418">
        <f t="shared" si="97"/>
        <v>0</v>
      </c>
      <c r="BN32" s="418">
        <f t="shared" si="98"/>
        <v>0</v>
      </c>
      <c r="BO32" s="418">
        <f t="shared" si="99"/>
        <v>0</v>
      </c>
      <c r="BP32" s="418">
        <f t="shared" si="100"/>
        <v>0</v>
      </c>
      <c r="BQ32" s="418">
        <f t="shared" si="101"/>
        <v>0</v>
      </c>
      <c r="BR32" s="418">
        <f t="shared" si="102"/>
        <v>140000</v>
      </c>
      <c r="BT32" s="416">
        <f t="shared" si="103"/>
        <v>26.1</v>
      </c>
      <c r="BU32" s="416">
        <f t="shared" si="104"/>
        <v>0</v>
      </c>
    </row>
    <row r="33" spans="1:73" s="417" customFormat="1" x14ac:dyDescent="0.25">
      <c r="A33" s="768" t="s">
        <v>157</v>
      </c>
      <c r="B33" s="409" t="str">
        <f>'ADU-6'!$B$7</f>
        <v>Projets de remplacement de chaudière</v>
      </c>
      <c r="C33" s="409" t="str">
        <f>'ADU-6'!$B$8</f>
        <v>Ensemble des projets de remplacement de chaudière dans les bâtiments communaux</v>
      </c>
      <c r="D33" s="409" t="str">
        <f>'ADU-6'!$C$4</f>
        <v>Communal</v>
      </c>
      <c r="E33" s="409" t="str">
        <f>'ADU-6'!$B$11</f>
        <v>AC HABAY</v>
      </c>
      <c r="F33" s="409" t="str">
        <f>'ADU-6'!$B$5</f>
        <v>Prêt bancaire</v>
      </c>
      <c r="G33" s="591">
        <f>'ADU-6'!$B$16</f>
        <v>57440</v>
      </c>
      <c r="H33" s="409" t="str">
        <f>'ADU-6'!$B$6</f>
        <v>Subs RW</v>
      </c>
      <c r="I33" s="410">
        <f>'ADU-6'!$B$17</f>
        <v>46642</v>
      </c>
      <c r="J33" s="410">
        <f>'ADU-6'!$B$20</f>
        <v>3053</v>
      </c>
      <c r="K33" s="410">
        <f>'ADU-6'!$B$21</f>
        <v>0</v>
      </c>
      <c r="L33" s="419">
        <f>'ADU-6'!$B$23</f>
        <v>3.5368490009826399</v>
      </c>
      <c r="M33" s="412">
        <f>'ADU-6'!$B$24</f>
        <v>9.2654999999999994</v>
      </c>
      <c r="N33" s="413">
        <f t="shared" si="0"/>
        <v>0.85807556954991659</v>
      </c>
      <c r="O33" s="414" t="str">
        <f>'ADU-6'!$E$5</f>
        <v>Terminé</v>
      </c>
      <c r="P33" s="421">
        <f>'ADU-6'!$B$15</f>
        <v>2016</v>
      </c>
      <c r="Q33" s="652">
        <f t="shared" si="50"/>
        <v>9.2654999999999994</v>
      </c>
      <c r="R33" s="416">
        <f t="shared" si="1"/>
        <v>0</v>
      </c>
      <c r="S33" s="416">
        <f t="shared" si="2"/>
        <v>0</v>
      </c>
      <c r="T33" s="416">
        <f t="shared" si="3"/>
        <v>0</v>
      </c>
      <c r="U33" s="416">
        <f t="shared" si="4"/>
        <v>0</v>
      </c>
      <c r="V33" s="416">
        <f t="shared" si="5"/>
        <v>0</v>
      </c>
      <c r="W33" s="416">
        <f t="shared" si="6"/>
        <v>0</v>
      </c>
      <c r="X33" s="550">
        <f t="shared" si="7"/>
        <v>9.2654999999999994</v>
      </c>
      <c r="Z33" s="418">
        <f t="shared" si="8"/>
        <v>0</v>
      </c>
      <c r="AA33" s="418">
        <f t="shared" si="9"/>
        <v>0</v>
      </c>
      <c r="AB33" s="418">
        <f t="shared" si="10"/>
        <v>0</v>
      </c>
      <c r="AC33" s="418">
        <f t="shared" si="11"/>
        <v>0</v>
      </c>
      <c r="AD33" s="418">
        <f t="shared" si="12"/>
        <v>0</v>
      </c>
      <c r="AE33" s="418">
        <f t="shared" si="13"/>
        <v>0</v>
      </c>
      <c r="AF33" s="418">
        <f t="shared" si="14"/>
        <v>57440</v>
      </c>
      <c r="AH33" s="418">
        <f t="shared" si="15"/>
        <v>0</v>
      </c>
      <c r="AI33" s="418">
        <f t="shared" si="16"/>
        <v>0</v>
      </c>
      <c r="AJ33" s="418">
        <f t="shared" si="17"/>
        <v>0</v>
      </c>
      <c r="AK33" s="418">
        <f t="shared" si="18"/>
        <v>0</v>
      </c>
      <c r="AL33" s="418">
        <f t="shared" si="19"/>
        <v>0</v>
      </c>
      <c r="AM33" s="418">
        <f t="shared" si="20"/>
        <v>0</v>
      </c>
      <c r="AN33" s="418">
        <f t="shared" si="21"/>
        <v>46642</v>
      </c>
      <c r="AP33" s="418">
        <f t="shared" si="22"/>
        <v>0</v>
      </c>
      <c r="AQ33" s="418">
        <f t="shared" si="23"/>
        <v>0</v>
      </c>
      <c r="AR33" s="418">
        <f t="shared" si="24"/>
        <v>0</v>
      </c>
      <c r="AS33" s="418">
        <f t="shared" si="25"/>
        <v>0</v>
      </c>
      <c r="AT33" s="418">
        <f t="shared" si="26"/>
        <v>0</v>
      </c>
      <c r="AU33" s="418">
        <f t="shared" si="27"/>
        <v>0</v>
      </c>
      <c r="AV33" s="418">
        <f t="shared" si="28"/>
        <v>3053</v>
      </c>
      <c r="AX33" s="418">
        <f t="shared" si="29"/>
        <v>0</v>
      </c>
      <c r="AY33" s="418">
        <f t="shared" si="30"/>
        <v>0</v>
      </c>
      <c r="AZ33" s="418">
        <f t="shared" si="31"/>
        <v>0</v>
      </c>
      <c r="BA33" s="418">
        <f t="shared" si="32"/>
        <v>0</v>
      </c>
      <c r="BB33" s="418">
        <f t="shared" si="33"/>
        <v>0</v>
      </c>
      <c r="BC33" s="418">
        <f t="shared" si="34"/>
        <v>0</v>
      </c>
      <c r="BD33" s="418">
        <f t="shared" si="35"/>
        <v>0</v>
      </c>
      <c r="BF33" s="418">
        <f t="shared" si="36"/>
        <v>0</v>
      </c>
      <c r="BG33" s="418">
        <f t="shared" si="37"/>
        <v>0</v>
      </c>
      <c r="BH33" s="418">
        <f t="shared" si="38"/>
        <v>0</v>
      </c>
      <c r="BI33" s="418">
        <f t="shared" si="39"/>
        <v>0</v>
      </c>
      <c r="BJ33" s="418">
        <f t="shared" si="40"/>
        <v>57440</v>
      </c>
      <c r="BK33" s="418">
        <f t="shared" si="41"/>
        <v>0</v>
      </c>
      <c r="BM33" s="418">
        <f t="shared" si="42"/>
        <v>0</v>
      </c>
      <c r="BN33" s="418">
        <f t="shared" si="43"/>
        <v>0</v>
      </c>
      <c r="BO33" s="418">
        <f t="shared" si="44"/>
        <v>0</v>
      </c>
      <c r="BP33" s="418">
        <f t="shared" si="45"/>
        <v>0</v>
      </c>
      <c r="BQ33" s="418">
        <f t="shared" si="46"/>
        <v>46642</v>
      </c>
      <c r="BR33" s="418">
        <f t="shared" si="47"/>
        <v>0</v>
      </c>
      <c r="BT33" s="416">
        <f t="shared" si="48"/>
        <v>9.2654999999999994</v>
      </c>
      <c r="BU33" s="416">
        <f t="shared" si="49"/>
        <v>0</v>
      </c>
    </row>
    <row r="34" spans="1:73" s="673" customFormat="1" x14ac:dyDescent="0.25">
      <c r="A34" s="773" t="s">
        <v>405</v>
      </c>
      <c r="B34" s="758" t="str">
        <f>'ADU-61'!$B$7</f>
        <v xml:space="preserve">Réduction de consommation </v>
      </c>
      <c r="C34" s="758" t="str">
        <f>'ADU-61'!$B$8</f>
        <v>Bilan des actions citoyennes de 2007 à 08/2014</v>
      </c>
      <c r="D34" s="758" t="str">
        <f>'ADU-61'!$C$4</f>
        <v>Logement</v>
      </c>
      <c r="E34" s="758" t="str">
        <f>'ADU-61'!$B$11</f>
        <v>Citoyen</v>
      </c>
      <c r="F34" s="758" t="str">
        <f>'ADU-61'!$B$5</f>
        <v>Prêt bancaire</v>
      </c>
      <c r="G34" s="759">
        <f>'ADU-61'!$B$16</f>
        <v>1767679.1233333333</v>
      </c>
      <c r="H34" s="758" t="str">
        <f>'ADU-61'!$B$6</f>
        <v>Prime RW</v>
      </c>
      <c r="I34" s="759">
        <f>'ADU-61'!$B$17</f>
        <v>579599.18999999994</v>
      </c>
      <c r="J34" s="759">
        <f>'ADU-61'!$B$20</f>
        <v>313193.48614862759</v>
      </c>
      <c r="K34" s="759">
        <f>'ADU-61'!$B$21</f>
        <v>0</v>
      </c>
      <c r="L34" s="760">
        <f>'ADU-61'!$B$23</f>
        <v>3.7934375581793671</v>
      </c>
      <c r="M34" s="761">
        <f>'ADU-61'!$B$24</f>
        <v>1039.4763518258583</v>
      </c>
      <c r="N34" s="762">
        <f>IF(G34=0,0,M34/(G34-I34)*1000)</f>
        <v>0.87492122597294786</v>
      </c>
      <c r="O34" s="763" t="str">
        <f>'ADU-61'!$E$5</f>
        <v>Ne pas réaliser</v>
      </c>
      <c r="P34" s="764">
        <f>'ADU-61'!$B$15</f>
        <v>2014</v>
      </c>
      <c r="Q34" s="755" t="str">
        <f t="shared" si="50"/>
        <v/>
      </c>
      <c r="R34" s="672">
        <f t="shared" si="1"/>
        <v>0</v>
      </c>
      <c r="S34" s="672">
        <f t="shared" si="2"/>
        <v>0</v>
      </c>
      <c r="T34" s="672">
        <f t="shared" si="3"/>
        <v>0</v>
      </c>
      <c r="U34" s="765">
        <f t="shared" si="4"/>
        <v>0</v>
      </c>
      <c r="V34" s="672">
        <f t="shared" si="5"/>
        <v>0</v>
      </c>
      <c r="W34" s="672">
        <f t="shared" si="6"/>
        <v>0</v>
      </c>
      <c r="X34" s="672">
        <f t="shared" si="7"/>
        <v>0</v>
      </c>
      <c r="Z34" s="766">
        <f t="shared" si="8"/>
        <v>0</v>
      </c>
      <c r="AA34" s="766">
        <f t="shared" si="9"/>
        <v>0</v>
      </c>
      <c r="AB34" s="766">
        <f t="shared" si="10"/>
        <v>0</v>
      </c>
      <c r="AC34" s="755">
        <f t="shared" si="11"/>
        <v>0</v>
      </c>
      <c r="AD34" s="766">
        <f t="shared" si="12"/>
        <v>0</v>
      </c>
      <c r="AE34" s="766">
        <f t="shared" si="13"/>
        <v>0</v>
      </c>
      <c r="AF34" s="766">
        <f t="shared" si="14"/>
        <v>0</v>
      </c>
      <c r="AH34" s="766">
        <f t="shared" si="15"/>
        <v>0</v>
      </c>
      <c r="AI34" s="766">
        <f t="shared" si="16"/>
        <v>0</v>
      </c>
      <c r="AJ34" s="766">
        <f t="shared" si="17"/>
        <v>0</v>
      </c>
      <c r="AK34" s="766">
        <f t="shared" si="18"/>
        <v>0</v>
      </c>
      <c r="AL34" s="766">
        <f t="shared" si="19"/>
        <v>0</v>
      </c>
      <c r="AM34" s="766">
        <f t="shared" si="20"/>
        <v>0</v>
      </c>
      <c r="AN34" s="766">
        <f t="shared" si="21"/>
        <v>0</v>
      </c>
      <c r="AP34" s="766">
        <f t="shared" si="22"/>
        <v>0</v>
      </c>
      <c r="AQ34" s="766">
        <f t="shared" si="23"/>
        <v>0</v>
      </c>
      <c r="AR34" s="766">
        <f t="shared" si="24"/>
        <v>0</v>
      </c>
      <c r="AS34" s="766">
        <f t="shared" si="25"/>
        <v>0</v>
      </c>
      <c r="AT34" s="766">
        <f t="shared" si="26"/>
        <v>0</v>
      </c>
      <c r="AU34" s="766">
        <f t="shared" si="27"/>
        <v>0</v>
      </c>
      <c r="AV34" s="766">
        <f t="shared" si="28"/>
        <v>0</v>
      </c>
      <c r="AX34" s="766">
        <f t="shared" si="29"/>
        <v>0</v>
      </c>
      <c r="AY34" s="766">
        <f t="shared" si="30"/>
        <v>0</v>
      </c>
      <c r="AZ34" s="766">
        <f t="shared" si="31"/>
        <v>0</v>
      </c>
      <c r="BA34" s="766">
        <f t="shared" si="32"/>
        <v>0</v>
      </c>
      <c r="BB34" s="766">
        <f t="shared" si="33"/>
        <v>0</v>
      </c>
      <c r="BC34" s="766">
        <f t="shared" si="34"/>
        <v>0</v>
      </c>
      <c r="BD34" s="766">
        <f t="shared" si="35"/>
        <v>0</v>
      </c>
      <c r="BF34" s="766">
        <f t="shared" si="36"/>
        <v>0</v>
      </c>
      <c r="BG34" s="766">
        <f t="shared" si="37"/>
        <v>0</v>
      </c>
      <c r="BH34" s="766">
        <f t="shared" si="38"/>
        <v>0</v>
      </c>
      <c r="BI34" s="766">
        <f t="shared" si="39"/>
        <v>0</v>
      </c>
      <c r="BJ34" s="766">
        <f t="shared" si="40"/>
        <v>0</v>
      </c>
      <c r="BK34" s="766">
        <f t="shared" si="41"/>
        <v>0</v>
      </c>
      <c r="BM34" s="766">
        <f t="shared" si="42"/>
        <v>0</v>
      </c>
      <c r="BN34" s="766">
        <f t="shared" si="43"/>
        <v>0</v>
      </c>
      <c r="BO34" s="766">
        <f t="shared" si="44"/>
        <v>0</v>
      </c>
      <c r="BP34" s="766">
        <f t="shared" si="45"/>
        <v>0</v>
      </c>
      <c r="BQ34" s="766">
        <f t="shared" si="46"/>
        <v>0</v>
      </c>
      <c r="BR34" s="766">
        <f t="shared" si="47"/>
        <v>0</v>
      </c>
      <c r="BT34" s="672">
        <f t="shared" si="48"/>
        <v>0</v>
      </c>
      <c r="BU34" s="672">
        <f t="shared" si="49"/>
        <v>0</v>
      </c>
    </row>
    <row r="35" spans="1:73" s="477" customFormat="1" x14ac:dyDescent="0.25">
      <c r="A35" s="676" t="s">
        <v>879</v>
      </c>
      <c r="B35" s="468" t="str">
        <f>'ADU-62'!$B$7</f>
        <v xml:space="preserve">Réduction de consommation </v>
      </c>
      <c r="C35" s="468" t="str">
        <f>'ADU-62'!$B$8</f>
        <v>Economies d'énergie dans le Logement 2006-2014</v>
      </c>
      <c r="D35" s="468" t="str">
        <f>'ADU-62'!$C$4</f>
        <v>Logement</v>
      </c>
      <c r="E35" s="468" t="str">
        <f>'ADU-62'!$B$11</f>
        <v>Citoyen</v>
      </c>
      <c r="F35" s="468" t="str">
        <f>'ADU-62'!$B$5</f>
        <v>Prêt bancaire</v>
      </c>
      <c r="G35" s="469">
        <f>'ADU-62'!$B$16</f>
        <v>8931170.9120635167</v>
      </c>
      <c r="H35" s="468" t="str">
        <f>'ADU-62'!$B$6</f>
        <v>Prime RW</v>
      </c>
      <c r="I35" s="469">
        <f>'ADU-62'!$B$17</f>
        <v>893117.09120635176</v>
      </c>
      <c r="J35" s="469">
        <f>'ADU-62'!$B$20</f>
        <v>15113064.934166837</v>
      </c>
      <c r="K35" s="469">
        <f>'ADU-62'!$B$21</f>
        <v>0</v>
      </c>
      <c r="L35" s="470">
        <f>'ADU-62'!$B$23</f>
        <v>0.53186126413611501</v>
      </c>
      <c r="M35" s="471">
        <f>'ADU-62'!$B$24</f>
        <v>4506.9959857308131</v>
      </c>
      <c r="N35" s="472">
        <f>IF(G35=0,0,M35/(G35-I35)*1000)</f>
        <v>0.56070736600892712</v>
      </c>
      <c r="O35" s="473" t="str">
        <f>'ADU-62'!$E$5</f>
        <v>Terminé</v>
      </c>
      <c r="P35" s="474">
        <f>'ADU-62'!$B$15</f>
        <v>2014</v>
      </c>
      <c r="Q35" s="539">
        <f t="shared" ref="Q35" si="105">IF(O35="terminé", M35,"")</f>
        <v>4506.9959857308131</v>
      </c>
      <c r="R35" s="475">
        <f t="shared" si="1"/>
        <v>0</v>
      </c>
      <c r="S35" s="475">
        <f t="shared" si="2"/>
        <v>0</v>
      </c>
      <c r="T35" s="475">
        <f t="shared" si="3"/>
        <v>0</v>
      </c>
      <c r="U35" s="476">
        <f t="shared" si="4"/>
        <v>4506.9959857308131</v>
      </c>
      <c r="V35" s="475">
        <f t="shared" si="5"/>
        <v>0</v>
      </c>
      <c r="W35" s="475">
        <f t="shared" si="6"/>
        <v>0</v>
      </c>
      <c r="X35" s="475">
        <f t="shared" si="7"/>
        <v>0</v>
      </c>
      <c r="Z35" s="478">
        <f t="shared" si="8"/>
        <v>0</v>
      </c>
      <c r="AA35" s="478">
        <f t="shared" si="9"/>
        <v>0</v>
      </c>
      <c r="AB35" s="478">
        <f t="shared" si="10"/>
        <v>0</v>
      </c>
      <c r="AC35" s="539">
        <f t="shared" si="11"/>
        <v>8931170.9120635167</v>
      </c>
      <c r="AD35" s="478">
        <f t="shared" si="12"/>
        <v>0</v>
      </c>
      <c r="AE35" s="478">
        <f t="shared" si="13"/>
        <v>0</v>
      </c>
      <c r="AF35" s="478">
        <f t="shared" si="14"/>
        <v>0</v>
      </c>
      <c r="AH35" s="478">
        <f t="shared" si="15"/>
        <v>0</v>
      </c>
      <c r="AI35" s="478">
        <f t="shared" si="16"/>
        <v>0</v>
      </c>
      <c r="AJ35" s="478">
        <f t="shared" si="17"/>
        <v>0</v>
      </c>
      <c r="AK35" s="478">
        <f t="shared" si="18"/>
        <v>893117.09120635176</v>
      </c>
      <c r="AL35" s="478">
        <f t="shared" si="19"/>
        <v>0</v>
      </c>
      <c r="AM35" s="478">
        <f t="shared" si="20"/>
        <v>0</v>
      </c>
      <c r="AN35" s="478">
        <f t="shared" si="21"/>
        <v>0</v>
      </c>
      <c r="AP35" s="478">
        <f t="shared" si="22"/>
        <v>0</v>
      </c>
      <c r="AQ35" s="478">
        <f t="shared" si="23"/>
        <v>0</v>
      </c>
      <c r="AR35" s="478">
        <f t="shared" si="24"/>
        <v>0</v>
      </c>
      <c r="AS35" s="478">
        <f t="shared" si="25"/>
        <v>15113064.934166837</v>
      </c>
      <c r="AT35" s="478">
        <f t="shared" si="26"/>
        <v>0</v>
      </c>
      <c r="AU35" s="478">
        <f t="shared" si="27"/>
        <v>0</v>
      </c>
      <c r="AV35" s="478">
        <f t="shared" si="28"/>
        <v>0</v>
      </c>
      <c r="AX35" s="478">
        <f t="shared" si="29"/>
        <v>0</v>
      </c>
      <c r="AY35" s="478">
        <f t="shared" si="30"/>
        <v>0</v>
      </c>
      <c r="AZ35" s="478">
        <f t="shared" si="31"/>
        <v>0</v>
      </c>
      <c r="BA35" s="478">
        <f t="shared" si="32"/>
        <v>0</v>
      </c>
      <c r="BB35" s="478">
        <f t="shared" si="33"/>
        <v>0</v>
      </c>
      <c r="BC35" s="478">
        <f t="shared" si="34"/>
        <v>0</v>
      </c>
      <c r="BD35" s="478">
        <f t="shared" si="35"/>
        <v>0</v>
      </c>
      <c r="BF35" s="478">
        <f t="shared" si="36"/>
        <v>0</v>
      </c>
      <c r="BG35" s="478">
        <f t="shared" si="37"/>
        <v>0</v>
      </c>
      <c r="BH35" s="478">
        <f t="shared" si="38"/>
        <v>8931170.9120635167</v>
      </c>
      <c r="BI35" s="478">
        <f t="shared" si="39"/>
        <v>0</v>
      </c>
      <c r="BJ35" s="478">
        <f t="shared" si="40"/>
        <v>0</v>
      </c>
      <c r="BK35" s="478">
        <f t="shared" si="41"/>
        <v>0</v>
      </c>
      <c r="BM35" s="478">
        <f t="shared" si="42"/>
        <v>0</v>
      </c>
      <c r="BN35" s="478">
        <f t="shared" si="43"/>
        <v>0</v>
      </c>
      <c r="BO35" s="478">
        <f t="shared" si="44"/>
        <v>893117.09120635176</v>
      </c>
      <c r="BP35" s="478">
        <f t="shared" si="45"/>
        <v>0</v>
      </c>
      <c r="BQ35" s="478">
        <f t="shared" si="46"/>
        <v>0</v>
      </c>
      <c r="BR35" s="478">
        <f t="shared" si="47"/>
        <v>0</v>
      </c>
      <c r="BT35" s="475">
        <f t="shared" si="48"/>
        <v>4506.9959857308131</v>
      </c>
      <c r="BU35" s="475">
        <f t="shared" si="49"/>
        <v>0</v>
      </c>
    </row>
    <row r="36" spans="1:73" s="417" customFormat="1" x14ac:dyDescent="0.25">
      <c r="A36" s="768" t="s">
        <v>162</v>
      </c>
      <c r="B36" s="409" t="str">
        <f>'ADU-7'!$B$7</f>
        <v>Réduction de la consommation électrique</v>
      </c>
      <c r="C36" s="409" t="str">
        <f>'ADU-7'!$B$8</f>
        <v>Ensemble des projets de réduction de consommation électrique dans les bâtiments communaux</v>
      </c>
      <c r="D36" s="409" t="str">
        <f>'ADU-7'!$C$4</f>
        <v>Communal</v>
      </c>
      <c r="E36" s="409" t="str">
        <f>'ADU-7'!$B$11</f>
        <v>AC HABAY</v>
      </c>
      <c r="F36" s="409" t="str">
        <f>'ADU-7'!$B$5</f>
        <v>Prêt bancaire</v>
      </c>
      <c r="G36" s="591">
        <f>'ADU-7'!$B$16</f>
        <v>60262</v>
      </c>
      <c r="H36" s="409" t="str">
        <f>'ADU-7'!$B$6</f>
        <v>Subs RW</v>
      </c>
      <c r="I36" s="410">
        <f>'ADU-7'!$B$17</f>
        <v>47169</v>
      </c>
      <c r="J36" s="410">
        <f>'ADU-7'!$B$20</f>
        <v>4339.2</v>
      </c>
      <c r="K36" s="410">
        <f>'ADU-7'!$B$21</f>
        <v>0</v>
      </c>
      <c r="L36" s="419">
        <f>'ADU-7'!$B$23</f>
        <v>3.0173764749262539</v>
      </c>
      <c r="M36" s="412">
        <f>'ADU-7'!$B$24</f>
        <v>2.1153599999999999</v>
      </c>
      <c r="N36" s="413">
        <f t="shared" si="0"/>
        <v>0.16156419460780569</v>
      </c>
      <c r="O36" s="414" t="str">
        <f>'ADU-7'!$E$5</f>
        <v>Terminé</v>
      </c>
      <c r="P36" s="421">
        <f>'ADU-7'!$B$15</f>
        <v>2016</v>
      </c>
      <c r="Q36" s="652">
        <f t="shared" si="50"/>
        <v>2.1153599999999999</v>
      </c>
      <c r="R36" s="416">
        <f t="shared" si="1"/>
        <v>0</v>
      </c>
      <c r="S36" s="416">
        <f t="shared" si="2"/>
        <v>0</v>
      </c>
      <c r="T36" s="416">
        <f t="shared" si="3"/>
        <v>0</v>
      </c>
      <c r="U36" s="416">
        <f t="shared" si="4"/>
        <v>0</v>
      </c>
      <c r="V36" s="416">
        <f t="shared" si="5"/>
        <v>0</v>
      </c>
      <c r="W36" s="416">
        <f t="shared" si="6"/>
        <v>0</v>
      </c>
      <c r="X36" s="550">
        <f t="shared" si="7"/>
        <v>2.1153599999999999</v>
      </c>
      <c r="Z36" s="418">
        <f t="shared" si="8"/>
        <v>0</v>
      </c>
      <c r="AA36" s="418">
        <f t="shared" si="9"/>
        <v>0</v>
      </c>
      <c r="AB36" s="418">
        <f t="shared" si="10"/>
        <v>0</v>
      </c>
      <c r="AC36" s="418">
        <f t="shared" si="11"/>
        <v>0</v>
      </c>
      <c r="AD36" s="418">
        <f t="shared" si="12"/>
        <v>0</v>
      </c>
      <c r="AE36" s="418">
        <f t="shared" si="13"/>
        <v>0</v>
      </c>
      <c r="AF36" s="418">
        <f t="shared" si="14"/>
        <v>60262</v>
      </c>
      <c r="AH36" s="418">
        <f t="shared" si="15"/>
        <v>0</v>
      </c>
      <c r="AI36" s="418">
        <f t="shared" si="16"/>
        <v>0</v>
      </c>
      <c r="AJ36" s="418">
        <f t="shared" si="17"/>
        <v>0</v>
      </c>
      <c r="AK36" s="418">
        <f t="shared" si="18"/>
        <v>0</v>
      </c>
      <c r="AL36" s="418">
        <f t="shared" si="19"/>
        <v>0</v>
      </c>
      <c r="AM36" s="418">
        <f t="shared" si="20"/>
        <v>0</v>
      </c>
      <c r="AN36" s="418">
        <f t="shared" si="21"/>
        <v>47169</v>
      </c>
      <c r="AP36" s="418">
        <f t="shared" si="22"/>
        <v>0</v>
      </c>
      <c r="AQ36" s="418">
        <f t="shared" si="23"/>
        <v>0</v>
      </c>
      <c r="AR36" s="418">
        <f t="shared" si="24"/>
        <v>0</v>
      </c>
      <c r="AS36" s="418">
        <f t="shared" si="25"/>
        <v>0</v>
      </c>
      <c r="AT36" s="418">
        <f t="shared" si="26"/>
        <v>0</v>
      </c>
      <c r="AU36" s="418">
        <f t="shared" si="27"/>
        <v>0</v>
      </c>
      <c r="AV36" s="418">
        <f t="shared" si="28"/>
        <v>4339.2</v>
      </c>
      <c r="AX36" s="418">
        <f t="shared" si="29"/>
        <v>0</v>
      </c>
      <c r="AY36" s="418">
        <f t="shared" si="30"/>
        <v>0</v>
      </c>
      <c r="AZ36" s="418">
        <f t="shared" si="31"/>
        <v>0</v>
      </c>
      <c r="BA36" s="418">
        <f t="shared" si="32"/>
        <v>0</v>
      </c>
      <c r="BB36" s="418">
        <f t="shared" si="33"/>
        <v>0</v>
      </c>
      <c r="BC36" s="418">
        <f t="shared" si="34"/>
        <v>0</v>
      </c>
      <c r="BD36" s="418">
        <f t="shared" si="35"/>
        <v>0</v>
      </c>
      <c r="BF36" s="418">
        <f t="shared" si="36"/>
        <v>0</v>
      </c>
      <c r="BG36" s="418">
        <f t="shared" si="37"/>
        <v>0</v>
      </c>
      <c r="BH36" s="418">
        <f t="shared" si="38"/>
        <v>0</v>
      </c>
      <c r="BI36" s="418">
        <f t="shared" si="39"/>
        <v>0</v>
      </c>
      <c r="BJ36" s="418">
        <f t="shared" si="40"/>
        <v>60262</v>
      </c>
      <c r="BK36" s="418">
        <f t="shared" si="41"/>
        <v>0</v>
      </c>
      <c r="BM36" s="418">
        <f t="shared" si="42"/>
        <v>0</v>
      </c>
      <c r="BN36" s="418">
        <f t="shared" si="43"/>
        <v>0</v>
      </c>
      <c r="BO36" s="418">
        <f t="shared" si="44"/>
        <v>0</v>
      </c>
      <c r="BP36" s="418">
        <f t="shared" si="45"/>
        <v>0</v>
      </c>
      <c r="BQ36" s="418">
        <f t="shared" si="46"/>
        <v>47169</v>
      </c>
      <c r="BR36" s="418">
        <f t="shared" si="47"/>
        <v>0</v>
      </c>
      <c r="BT36" s="416">
        <f t="shared" si="48"/>
        <v>2.1153599999999999</v>
      </c>
      <c r="BU36" s="416">
        <f t="shared" si="49"/>
        <v>0</v>
      </c>
    </row>
    <row r="37" spans="1:73" s="586" customFormat="1" x14ac:dyDescent="0.25">
      <c r="A37" s="774" t="s">
        <v>166</v>
      </c>
      <c r="B37" s="577" t="str">
        <f>'ADU-8'!$B$7</f>
        <v>Réseau de chaleur</v>
      </c>
      <c r="C37" s="577" t="str">
        <f>'ADU-8'!$B$8</f>
        <v>Réseau de chaleur pour divers bâtiments communaux</v>
      </c>
      <c r="D37" s="577" t="str">
        <f>'ADU-8'!$C$4</f>
        <v>Communal</v>
      </c>
      <c r="E37" s="577" t="str">
        <f>'ADU-8'!$B$11</f>
        <v>AC HABAY</v>
      </c>
      <c r="F37" s="577" t="str">
        <f>'ADU-8'!$B$5</f>
        <v>Prêt bancaire</v>
      </c>
      <c r="G37" s="600">
        <f>'ADU-8'!$B$16</f>
        <v>1266000</v>
      </c>
      <c r="H37" s="577" t="str">
        <f>'ADU-8'!$B$6</f>
        <v>Subs RW</v>
      </c>
      <c r="I37" s="578">
        <f>'ADU-8'!$B$17</f>
        <v>500000</v>
      </c>
      <c r="J37" s="578">
        <f>'ADU-8'!$B$20</f>
        <v>326800</v>
      </c>
      <c r="K37" s="578">
        <f>'ADU-8'!$B$21</f>
        <v>0</v>
      </c>
      <c r="L37" s="579">
        <f>'ADU-8'!$B$23</f>
        <v>2.3439412484700122</v>
      </c>
      <c r="M37" s="580">
        <f>'ADU-8'!$B$24</f>
        <v>991.8</v>
      </c>
      <c r="N37" s="581">
        <f t="shared" si="0"/>
        <v>1.2947780678851173</v>
      </c>
      <c r="O37" s="582" t="str">
        <f>'ADU-8'!$E$5</f>
        <v>Terminé</v>
      </c>
      <c r="P37" s="583">
        <f>'ADU-8'!$B$15</f>
        <v>2017</v>
      </c>
      <c r="Q37" s="630">
        <f t="shared" si="50"/>
        <v>991.8</v>
      </c>
      <c r="R37" s="584">
        <f t="shared" ref="R37:R68" si="106">IF((O37="Terminé")*AND(D37="Territoire"),M37,0)</f>
        <v>0</v>
      </c>
      <c r="S37" s="584">
        <f t="shared" ref="S37:S68" si="107">IF((O37="Terminé")*AND(D37="Agriculture"),M37,0)</f>
        <v>0</v>
      </c>
      <c r="T37" s="584">
        <f t="shared" ref="T37:T68" si="108">IF((O37="Terminé")*AND(D37="Industrie"), M37,0)</f>
        <v>0</v>
      </c>
      <c r="U37" s="584">
        <f t="shared" ref="U37:U68" si="109">IF((O37="Terminé")*AND(D37="Logement"),M37,0)</f>
        <v>0</v>
      </c>
      <c r="V37" s="584">
        <f t="shared" ref="V37:V68" si="110">IF((O37="Terminé")*AND(D37="Tertiaire"),M37,0)</f>
        <v>0</v>
      </c>
      <c r="W37" s="584">
        <f t="shared" ref="W37:W68" si="111">IF((O37="Terminé")*AND(D37="Transport"),M37,0)</f>
        <v>0</v>
      </c>
      <c r="X37" s="585">
        <f t="shared" ref="X37:X68" si="112">IF((O37="Terminé")*AND(D37="Communal"),M37,0)</f>
        <v>991.8</v>
      </c>
      <c r="Z37" s="587">
        <f t="shared" ref="Z37:Z68" si="113">IF((O37="Terminé")*AND(D37="Territoire"),G37,0)</f>
        <v>0</v>
      </c>
      <c r="AA37" s="587">
        <f t="shared" ref="AA37:AA68" si="114">IF((O37="Terminé")*AND(D37="Agriculture"),G37,0)</f>
        <v>0</v>
      </c>
      <c r="AB37" s="587">
        <f t="shared" ref="AB37:AB68" si="115">IF((O37="Terminé")*AND(D37="Industrie"), G37,0)</f>
        <v>0</v>
      </c>
      <c r="AC37" s="587">
        <f t="shared" ref="AC37:AC68" si="116">IF((O37="Terminé")*AND(D37="Logement"), G37,0)</f>
        <v>0</v>
      </c>
      <c r="AD37" s="587">
        <f t="shared" ref="AD37:AD68" si="117">IF((O37="Terminé")*AND(D37="Tertiaire"),G37,0)</f>
        <v>0</v>
      </c>
      <c r="AE37" s="587">
        <f t="shared" ref="AE37:AE68" si="118">IF((O37="Terminé")*AND(D37="Transport"),G37,0)</f>
        <v>0</v>
      </c>
      <c r="AF37" s="587">
        <f t="shared" ref="AF37:AF68" si="119">IF((O37="Terminé")*AND(D37="Communal"),G37,0)</f>
        <v>1266000</v>
      </c>
      <c r="AH37" s="587">
        <f t="shared" ref="AH37:AH68" si="120">IF((O37="Terminé")*AND(D37="Territoire"),I37,0)</f>
        <v>0</v>
      </c>
      <c r="AI37" s="587">
        <f t="shared" ref="AI37:AI68" si="121">IF((O37="Terminé")*AND(D37="Agriculture"),I37,0)</f>
        <v>0</v>
      </c>
      <c r="AJ37" s="587">
        <f t="shared" ref="AJ37:AJ68" si="122">IF((O37="Terminé")*AND(D37="Industrie"), I37,0)</f>
        <v>0</v>
      </c>
      <c r="AK37" s="587">
        <f t="shared" ref="AK37:AK68" si="123">IF((O37="Terminé")*AND(D37="Logement"), I37,0)</f>
        <v>0</v>
      </c>
      <c r="AL37" s="587">
        <f t="shared" ref="AL37:AL68" si="124">IF((O37="Terminé")*AND(D37="Tertiaire"),I37,0)</f>
        <v>0</v>
      </c>
      <c r="AM37" s="587">
        <f t="shared" ref="AM37:AM68" si="125">IF((O37="Terminé")*AND(D37="Transport"),I37,0)</f>
        <v>0</v>
      </c>
      <c r="AN37" s="587">
        <f t="shared" ref="AN37:AN68" si="126">IF((O37="Terminé")*AND(D37="Communal"),I37,0)</f>
        <v>500000</v>
      </c>
      <c r="AP37" s="587">
        <f t="shared" ref="AP37:AP68" si="127">IF((O37="Terminé")*AND(D37="Territoire"),J37,0)</f>
        <v>0</v>
      </c>
      <c r="AQ37" s="587">
        <f t="shared" ref="AQ37:AQ68" si="128">IF((O37="Terminé")*AND(D37="Agriculture"),J37,0)</f>
        <v>0</v>
      </c>
      <c r="AR37" s="587">
        <f t="shared" ref="AR37:AR68" si="129">IF((O37="Terminé")*AND(D37="Industrie"), J37,0)</f>
        <v>0</v>
      </c>
      <c r="AS37" s="587">
        <f t="shared" ref="AS37:AS68" si="130">IF((O37="Terminé")*AND(D37="Logement"), J37,0)</f>
        <v>0</v>
      </c>
      <c r="AT37" s="587">
        <f t="shared" ref="AT37:AT68" si="131">IF((O37="Terminé")*AND(D37="Tertiaire"),J37,0)</f>
        <v>0</v>
      </c>
      <c r="AU37" s="587">
        <f t="shared" ref="AU37:AU68" si="132">IF((O37="Terminé")*AND(D37="Transport"),J37,0)</f>
        <v>0</v>
      </c>
      <c r="AV37" s="587">
        <f t="shared" ref="AV37:AV68" si="133">IF((O37="Terminé")*AND(D37="Communal"),J37,0)</f>
        <v>326800</v>
      </c>
      <c r="AX37" s="587">
        <f t="shared" ref="AX37:AX68" si="134">IF((O37="Terminé")*AND(D37="Territoire"),K37,0)</f>
        <v>0</v>
      </c>
      <c r="AY37" s="587">
        <f t="shared" ref="AY37:AY68" si="135">IF((O37="Terminé")*AND(D37="Agriculture"),K37,0)</f>
        <v>0</v>
      </c>
      <c r="AZ37" s="587">
        <f t="shared" ref="AZ37:AZ68" si="136">IF((O37="Terminé")*AND(D37="Industrie"), K37,0)</f>
        <v>0</v>
      </c>
      <c r="BA37" s="587">
        <f t="shared" ref="BA37:BA68" si="137">IF((O37="Terminé")*AND(D37="Logement"), K37,0)</f>
        <v>0</v>
      </c>
      <c r="BB37" s="587">
        <f t="shared" ref="BB37:BB68" si="138">IF((O37="Terminé")*AND(D37="Tertiaire"),K37,0)</f>
        <v>0</v>
      </c>
      <c r="BC37" s="587">
        <f t="shared" ref="BC37:BC68" si="139">IF((O37="Terminé")*AND(D37="Transport"),K37,0)</f>
        <v>0</v>
      </c>
      <c r="BD37" s="587">
        <f t="shared" ref="BD37:BD68" si="140">IF((O37="Terminé")*AND(D37="Communal"),K37,0)</f>
        <v>0</v>
      </c>
      <c r="BF37" s="587">
        <f t="shared" ref="BF37:BF68" si="141">IF((O37="Terminé")*AND(E37="Agriculture"),G37,0)</f>
        <v>0</v>
      </c>
      <c r="BG37" s="587">
        <f t="shared" ref="BG37:BG68" si="142">IF((O37="Terminé")*AND(E37="Industrie"),G37,0)</f>
        <v>0</v>
      </c>
      <c r="BH37" s="587">
        <f t="shared" ref="BH37:BH68" si="143">IF((O37="Terminé")*AND(E37="Citoyen"), G37,0)</f>
        <v>0</v>
      </c>
      <c r="BI37" s="587">
        <f t="shared" ref="BI37:BI68" si="144">IF((O37="Terminé")*AND(E37="IDELUX"), G37,0)</f>
        <v>0</v>
      </c>
      <c r="BJ37" s="587">
        <f t="shared" ref="BJ37:BJ68" si="145">IF((O37="Terminé")*AND(E37="AC HABAY"),G37,0)</f>
        <v>1266000</v>
      </c>
      <c r="BK37" s="587">
        <f t="shared" ref="BK37:BK68" si="146">IF((O37="Terminé")*AND(E37="Tertiaire"),G37,0)</f>
        <v>0</v>
      </c>
      <c r="BM37" s="587">
        <f t="shared" ref="BM37:BM68" si="147">IF((O37="Terminé")*AND(E37="Agriculture"),I37,0)</f>
        <v>0</v>
      </c>
      <c r="BN37" s="587">
        <f t="shared" ref="BN37:BN68" si="148">IF((O37="Terminé")*AND(E37="Industrie"),I37,0)</f>
        <v>0</v>
      </c>
      <c r="BO37" s="587">
        <f t="shared" ref="BO37:BO68" si="149">IF((O37="Terminé")*AND(E37="Citoyen"), I37,0)</f>
        <v>0</v>
      </c>
      <c r="BP37" s="587">
        <f t="shared" ref="BP37:BP68" si="150">IF((O37="Terminé")*AND(E37="IDELUX"), I37,0)</f>
        <v>0</v>
      </c>
      <c r="BQ37" s="587">
        <f t="shared" ref="BQ37:BQ68" si="151">IF((O37="Terminé")*AND(E37="AC HABAY"),I37,0)</f>
        <v>500000</v>
      </c>
      <c r="BR37" s="587">
        <f t="shared" ref="BR37:BR68" si="152">IF((O37="Terminé")*AND(E37="Tertiaire"),I37,0)</f>
        <v>0</v>
      </c>
      <c r="BT37" s="584">
        <f t="shared" ref="BT37:BT68" si="153">IF((O37="Terminé"),M37,0)</f>
        <v>991.8</v>
      </c>
      <c r="BU37" s="584">
        <f t="shared" ref="BU37:BU68" si="154">IF((O37="A faire"),M37,0)</f>
        <v>0</v>
      </c>
    </row>
    <row r="38" spans="1:73" s="586" customFormat="1" x14ac:dyDescent="0.25">
      <c r="A38" s="774" t="s">
        <v>170</v>
      </c>
      <c r="B38" s="577" t="str">
        <f>'ADU-9'!$B$7</f>
        <v>Mini réseau de chaleur</v>
      </c>
      <c r="C38" s="577" t="str">
        <f>'ADU-9'!$B$8</f>
        <v>Mini réseau de chaleur pour divers bâtiments communaux</v>
      </c>
      <c r="D38" s="577" t="str">
        <f>'ADU-9'!$C$4</f>
        <v>Communal</v>
      </c>
      <c r="E38" s="577" t="str">
        <f>'ADU-9'!$B$11</f>
        <v>AC HABAY</v>
      </c>
      <c r="F38" s="577" t="str">
        <f>'ADU-9'!$B$5</f>
        <v>Prêt bancaire</v>
      </c>
      <c r="G38" s="600">
        <f>'ADU-9'!$B$16</f>
        <v>450000</v>
      </c>
      <c r="H38" s="577" t="str">
        <f>'ADU-9'!$B$6</f>
        <v>Subs RW</v>
      </c>
      <c r="I38" s="578">
        <f>'ADU-9'!$B$17</f>
        <v>90000</v>
      </c>
      <c r="J38" s="578">
        <f>'ADU-9'!$B$20</f>
        <v>16818</v>
      </c>
      <c r="K38" s="578">
        <f>'ADU-9'!$B$21</f>
        <v>0</v>
      </c>
      <c r="L38" s="579">
        <f>'ADU-9'!$B$23</f>
        <v>21.405636817695328</v>
      </c>
      <c r="M38" s="580">
        <f>'ADU-9'!$B$24</f>
        <v>121.626</v>
      </c>
      <c r="N38" s="581">
        <f>IF(G38=0,0,M38/(G38-I38)*1000)</f>
        <v>0.33784999999999998</v>
      </c>
      <c r="O38" s="582" t="str">
        <f>'ADU-9'!$E$5</f>
        <v>Terminé</v>
      </c>
      <c r="P38" s="583">
        <f>'ADU-9'!$B$15</f>
        <v>2017</v>
      </c>
      <c r="Q38" s="630">
        <f t="shared" si="50"/>
        <v>121.626</v>
      </c>
      <c r="R38" s="584">
        <f t="shared" si="106"/>
        <v>0</v>
      </c>
      <c r="S38" s="584">
        <f t="shared" si="107"/>
        <v>0</v>
      </c>
      <c r="T38" s="584">
        <f t="shared" si="108"/>
        <v>0</v>
      </c>
      <c r="U38" s="584">
        <f t="shared" si="109"/>
        <v>0</v>
      </c>
      <c r="V38" s="584">
        <f t="shared" si="110"/>
        <v>0</v>
      </c>
      <c r="W38" s="584">
        <f t="shared" si="111"/>
        <v>0</v>
      </c>
      <c r="X38" s="585">
        <f t="shared" si="112"/>
        <v>121.626</v>
      </c>
      <c r="Z38" s="587">
        <f t="shared" si="113"/>
        <v>0</v>
      </c>
      <c r="AA38" s="587">
        <f t="shared" si="114"/>
        <v>0</v>
      </c>
      <c r="AB38" s="587">
        <f t="shared" si="115"/>
        <v>0</v>
      </c>
      <c r="AC38" s="587">
        <f t="shared" si="116"/>
        <v>0</v>
      </c>
      <c r="AD38" s="587">
        <f t="shared" si="117"/>
        <v>0</v>
      </c>
      <c r="AE38" s="587">
        <f t="shared" si="118"/>
        <v>0</v>
      </c>
      <c r="AF38" s="587">
        <f t="shared" si="119"/>
        <v>450000</v>
      </c>
      <c r="AH38" s="587">
        <f t="shared" si="120"/>
        <v>0</v>
      </c>
      <c r="AI38" s="587">
        <f t="shared" si="121"/>
        <v>0</v>
      </c>
      <c r="AJ38" s="587">
        <f t="shared" si="122"/>
        <v>0</v>
      </c>
      <c r="AK38" s="587">
        <f t="shared" si="123"/>
        <v>0</v>
      </c>
      <c r="AL38" s="587">
        <f t="shared" si="124"/>
        <v>0</v>
      </c>
      <c r="AM38" s="587">
        <f t="shared" si="125"/>
        <v>0</v>
      </c>
      <c r="AN38" s="587">
        <f t="shared" si="126"/>
        <v>90000</v>
      </c>
      <c r="AP38" s="587">
        <f t="shared" si="127"/>
        <v>0</v>
      </c>
      <c r="AQ38" s="587">
        <f t="shared" si="128"/>
        <v>0</v>
      </c>
      <c r="AR38" s="587">
        <f t="shared" si="129"/>
        <v>0</v>
      </c>
      <c r="AS38" s="587">
        <f t="shared" si="130"/>
        <v>0</v>
      </c>
      <c r="AT38" s="587">
        <f t="shared" si="131"/>
        <v>0</v>
      </c>
      <c r="AU38" s="587">
        <f t="shared" si="132"/>
        <v>0</v>
      </c>
      <c r="AV38" s="587">
        <f t="shared" si="133"/>
        <v>16818</v>
      </c>
      <c r="AX38" s="587">
        <f t="shared" si="134"/>
        <v>0</v>
      </c>
      <c r="AY38" s="587">
        <f t="shared" si="135"/>
        <v>0</v>
      </c>
      <c r="AZ38" s="587">
        <f t="shared" si="136"/>
        <v>0</v>
      </c>
      <c r="BA38" s="587">
        <f t="shared" si="137"/>
        <v>0</v>
      </c>
      <c r="BB38" s="587">
        <f t="shared" si="138"/>
        <v>0</v>
      </c>
      <c r="BC38" s="587">
        <f t="shared" si="139"/>
        <v>0</v>
      </c>
      <c r="BD38" s="587">
        <f t="shared" si="140"/>
        <v>0</v>
      </c>
      <c r="BF38" s="587">
        <f t="shared" si="141"/>
        <v>0</v>
      </c>
      <c r="BG38" s="587">
        <f t="shared" si="142"/>
        <v>0</v>
      </c>
      <c r="BH38" s="587">
        <f t="shared" si="143"/>
        <v>0</v>
      </c>
      <c r="BI38" s="587">
        <f t="shared" si="144"/>
        <v>0</v>
      </c>
      <c r="BJ38" s="587">
        <f t="shared" si="145"/>
        <v>450000</v>
      </c>
      <c r="BK38" s="587">
        <f t="shared" si="146"/>
        <v>0</v>
      </c>
      <c r="BM38" s="587">
        <f t="shared" si="147"/>
        <v>0</v>
      </c>
      <c r="BN38" s="587">
        <f t="shared" si="148"/>
        <v>0</v>
      </c>
      <c r="BO38" s="587">
        <f t="shared" si="149"/>
        <v>0</v>
      </c>
      <c r="BP38" s="587">
        <f t="shared" si="150"/>
        <v>0</v>
      </c>
      <c r="BQ38" s="587">
        <f t="shared" si="151"/>
        <v>90000</v>
      </c>
      <c r="BR38" s="587">
        <f t="shared" si="152"/>
        <v>0</v>
      </c>
      <c r="BT38" s="584">
        <f t="shared" si="153"/>
        <v>121.626</v>
      </c>
      <c r="BU38" s="584">
        <f t="shared" si="154"/>
        <v>0</v>
      </c>
    </row>
    <row r="39" spans="1:73" s="244" customFormat="1" x14ac:dyDescent="0.25">
      <c r="A39" s="775" t="s">
        <v>409</v>
      </c>
      <c r="B39" s="265" t="str">
        <f>'ADU-10'!$B$7</f>
        <v>Eclairage public</v>
      </c>
      <c r="C39" s="265" t="str">
        <f>'ADU-10'!$B$8</f>
        <v>Application du plan EPURE</v>
      </c>
      <c r="D39" s="265" t="str">
        <f>'ADU-10'!$C$4</f>
        <v>Communal</v>
      </c>
      <c r="E39" s="265" t="str">
        <f>'ADU-10'!$B$11</f>
        <v>AC HABAY</v>
      </c>
      <c r="F39" s="394" t="str">
        <f>'ADU-10'!$B$5</f>
        <v>Fonds propres</v>
      </c>
      <c r="G39" s="266">
        <f>'ADU-10'!$B$16</f>
        <v>50000</v>
      </c>
      <c r="H39" s="394" t="str">
        <f>'ADU-10'!$B$6</f>
        <v>Subs RW</v>
      </c>
      <c r="I39" s="266">
        <f>'ADU-10'!$B$17</f>
        <v>0</v>
      </c>
      <c r="J39" s="266">
        <f>'ADU-10'!$B$20</f>
        <v>14535</v>
      </c>
      <c r="K39" s="266">
        <f>'ADU-10'!$B$21</f>
        <v>0</v>
      </c>
      <c r="L39" s="267">
        <f>'ADU-10'!$B$23</f>
        <v>3.4399724802201583</v>
      </c>
      <c r="M39" s="402">
        <f>'ADU-10'!$B$24</f>
        <v>18.895500000000002</v>
      </c>
      <c r="N39" s="268">
        <f t="shared" si="0"/>
        <v>0.37791000000000002</v>
      </c>
      <c r="O39" s="269" t="str">
        <f>'ADU-10'!$E$5</f>
        <v>En cours</v>
      </c>
      <c r="P39" s="270">
        <f>'ADU-10'!$B$15</f>
        <v>2020</v>
      </c>
      <c r="Q39" s="653" t="str">
        <f t="shared" si="50"/>
        <v/>
      </c>
      <c r="R39" s="247">
        <f t="shared" si="106"/>
        <v>0</v>
      </c>
      <c r="S39" s="247">
        <f t="shared" si="107"/>
        <v>0</v>
      </c>
      <c r="T39" s="247">
        <f t="shared" si="108"/>
        <v>0</v>
      </c>
      <c r="U39" s="247">
        <f t="shared" si="109"/>
        <v>0</v>
      </c>
      <c r="V39" s="247">
        <f t="shared" si="110"/>
        <v>0</v>
      </c>
      <c r="W39" s="247">
        <f t="shared" si="111"/>
        <v>0</v>
      </c>
      <c r="X39" s="247">
        <f t="shared" si="112"/>
        <v>0</v>
      </c>
      <c r="Z39" s="245">
        <f t="shared" si="113"/>
        <v>0</v>
      </c>
      <c r="AA39" s="245">
        <f t="shared" si="114"/>
        <v>0</v>
      </c>
      <c r="AB39" s="245">
        <f t="shared" si="115"/>
        <v>0</v>
      </c>
      <c r="AC39" s="245">
        <f t="shared" si="116"/>
        <v>0</v>
      </c>
      <c r="AD39" s="245">
        <f t="shared" si="117"/>
        <v>0</v>
      </c>
      <c r="AE39" s="245">
        <f t="shared" si="118"/>
        <v>0</v>
      </c>
      <c r="AF39" s="245">
        <f t="shared" si="119"/>
        <v>0</v>
      </c>
      <c r="AH39" s="245">
        <f t="shared" si="120"/>
        <v>0</v>
      </c>
      <c r="AI39" s="245">
        <f t="shared" si="121"/>
        <v>0</v>
      </c>
      <c r="AJ39" s="245">
        <f t="shared" si="122"/>
        <v>0</v>
      </c>
      <c r="AK39" s="245">
        <f t="shared" si="123"/>
        <v>0</v>
      </c>
      <c r="AL39" s="245">
        <f t="shared" si="124"/>
        <v>0</v>
      </c>
      <c r="AM39" s="245">
        <f t="shared" si="125"/>
        <v>0</v>
      </c>
      <c r="AN39" s="245">
        <f t="shared" si="126"/>
        <v>0</v>
      </c>
      <c r="AP39" s="245">
        <f t="shared" si="127"/>
        <v>0</v>
      </c>
      <c r="AQ39" s="245">
        <f t="shared" si="128"/>
        <v>0</v>
      </c>
      <c r="AR39" s="245">
        <f t="shared" si="129"/>
        <v>0</v>
      </c>
      <c r="AS39" s="245">
        <f t="shared" si="130"/>
        <v>0</v>
      </c>
      <c r="AT39" s="245">
        <f t="shared" si="131"/>
        <v>0</v>
      </c>
      <c r="AU39" s="245">
        <f t="shared" si="132"/>
        <v>0</v>
      </c>
      <c r="AV39" s="245">
        <f t="shared" si="133"/>
        <v>0</v>
      </c>
      <c r="AX39" s="245">
        <f t="shared" si="134"/>
        <v>0</v>
      </c>
      <c r="AY39" s="245">
        <f t="shared" si="135"/>
        <v>0</v>
      </c>
      <c r="AZ39" s="245">
        <f t="shared" si="136"/>
        <v>0</v>
      </c>
      <c r="BA39" s="245">
        <f t="shared" si="137"/>
        <v>0</v>
      </c>
      <c r="BB39" s="245">
        <f t="shared" si="138"/>
        <v>0</v>
      </c>
      <c r="BC39" s="245">
        <f t="shared" si="139"/>
        <v>0</v>
      </c>
      <c r="BD39" s="245">
        <f t="shared" si="140"/>
        <v>0</v>
      </c>
      <c r="BF39" s="245">
        <f t="shared" si="141"/>
        <v>0</v>
      </c>
      <c r="BG39" s="245">
        <f t="shared" si="142"/>
        <v>0</v>
      </c>
      <c r="BH39" s="245">
        <f t="shared" si="143"/>
        <v>0</v>
      </c>
      <c r="BI39" s="245">
        <f t="shared" si="144"/>
        <v>0</v>
      </c>
      <c r="BJ39" s="245">
        <f t="shared" si="145"/>
        <v>0</v>
      </c>
      <c r="BK39" s="245">
        <f t="shared" si="146"/>
        <v>0</v>
      </c>
      <c r="BM39" s="245">
        <f t="shared" si="147"/>
        <v>0</v>
      </c>
      <c r="BN39" s="245">
        <f t="shared" si="148"/>
        <v>0</v>
      </c>
      <c r="BO39" s="245">
        <f t="shared" si="149"/>
        <v>0</v>
      </c>
      <c r="BP39" s="245">
        <f t="shared" si="150"/>
        <v>0</v>
      </c>
      <c r="BQ39" s="245">
        <f t="shared" si="151"/>
        <v>0</v>
      </c>
      <c r="BR39" s="245">
        <f t="shared" si="152"/>
        <v>0</v>
      </c>
      <c r="BT39" s="247">
        <f t="shared" si="153"/>
        <v>0</v>
      </c>
      <c r="BU39" s="247">
        <f t="shared" si="154"/>
        <v>0</v>
      </c>
    </row>
    <row r="40" spans="1:73" s="477" customFormat="1" ht="15" customHeight="1" x14ac:dyDescent="0.25">
      <c r="A40" s="769" t="s">
        <v>406</v>
      </c>
      <c r="B40" s="468" t="str">
        <f>'ADU-110'!$B$7</f>
        <v>Logement privé</v>
      </c>
      <c r="C40" s="468" t="str">
        <f>'ADU-110'!$B$8</f>
        <v>Rénovation - isolation de logements privés - Planchers</v>
      </c>
      <c r="D40" s="468" t="str">
        <f>'ADU-110'!$C$4</f>
        <v>Logement</v>
      </c>
      <c r="E40" s="560" t="str">
        <f>'ADU-110'!$B$11</f>
        <v>Citoyen</v>
      </c>
      <c r="F40" s="468" t="str">
        <f>'ADU-110'!$B$5</f>
        <v>ECOPACK</v>
      </c>
      <c r="G40" s="469">
        <f>'ADU-110'!$B$16</f>
        <v>450000</v>
      </c>
      <c r="H40" s="468" t="str">
        <f>'ADU-110'!$B$6</f>
        <v>Prime RW</v>
      </c>
      <c r="I40" s="469">
        <f>'ADU-110'!$B$17</f>
        <v>48000</v>
      </c>
      <c r="J40" s="469">
        <f>'ADU-110'!$B$20</f>
        <v>10818.505169867061</v>
      </c>
      <c r="K40" s="469">
        <f>'ADU-110'!$B$21</f>
        <v>0</v>
      </c>
      <c r="L40" s="470">
        <f>'ADU-110'!$B$23</f>
        <v>37.158553209337683</v>
      </c>
      <c r="M40" s="471">
        <f>'ADU-110'!$B$24</f>
        <v>36.522579615952736</v>
      </c>
      <c r="N40" s="472">
        <f>IF(G40=0,0,M40/(G40-I40)*1000)</f>
        <v>9.0852188099384917E-2</v>
      </c>
      <c r="O40" s="473" t="str">
        <f>'ADU-110'!$E$5</f>
        <v>En cours</v>
      </c>
      <c r="P40" s="474">
        <f>'ADU-110'!$B$15</f>
        <v>2020</v>
      </c>
      <c r="Q40" s="539" t="str">
        <f t="shared" si="50"/>
        <v/>
      </c>
      <c r="R40" s="475">
        <f t="shared" si="106"/>
        <v>0</v>
      </c>
      <c r="S40" s="475">
        <f t="shared" si="107"/>
        <v>0</v>
      </c>
      <c r="T40" s="475">
        <f t="shared" si="108"/>
        <v>0</v>
      </c>
      <c r="U40" s="476">
        <f t="shared" si="109"/>
        <v>0</v>
      </c>
      <c r="V40" s="475">
        <f t="shared" si="110"/>
        <v>0</v>
      </c>
      <c r="W40" s="475">
        <f t="shared" si="111"/>
        <v>0</v>
      </c>
      <c r="X40" s="475">
        <f t="shared" si="112"/>
        <v>0</v>
      </c>
      <c r="Z40" s="478">
        <f t="shared" si="113"/>
        <v>0</v>
      </c>
      <c r="AA40" s="478">
        <f t="shared" si="114"/>
        <v>0</v>
      </c>
      <c r="AB40" s="478">
        <f t="shared" si="115"/>
        <v>0</v>
      </c>
      <c r="AC40" s="478">
        <f t="shared" si="116"/>
        <v>0</v>
      </c>
      <c r="AD40" s="478">
        <f t="shared" si="117"/>
        <v>0</v>
      </c>
      <c r="AE40" s="478">
        <f t="shared" si="118"/>
        <v>0</v>
      </c>
      <c r="AF40" s="478">
        <f t="shared" si="119"/>
        <v>0</v>
      </c>
      <c r="AH40" s="478">
        <f t="shared" si="120"/>
        <v>0</v>
      </c>
      <c r="AI40" s="478">
        <f t="shared" si="121"/>
        <v>0</v>
      </c>
      <c r="AJ40" s="478">
        <f t="shared" si="122"/>
        <v>0</v>
      </c>
      <c r="AK40" s="478">
        <f t="shared" si="123"/>
        <v>0</v>
      </c>
      <c r="AL40" s="478">
        <f t="shared" si="124"/>
        <v>0</v>
      </c>
      <c r="AM40" s="478">
        <f t="shared" si="125"/>
        <v>0</v>
      </c>
      <c r="AN40" s="478">
        <f t="shared" si="126"/>
        <v>0</v>
      </c>
      <c r="AP40" s="478">
        <f t="shared" si="127"/>
        <v>0</v>
      </c>
      <c r="AQ40" s="478">
        <f t="shared" si="128"/>
        <v>0</v>
      </c>
      <c r="AR40" s="478">
        <f t="shared" si="129"/>
        <v>0</v>
      </c>
      <c r="AS40" s="478">
        <f t="shared" si="130"/>
        <v>0</v>
      </c>
      <c r="AT40" s="478">
        <f t="shared" si="131"/>
        <v>0</v>
      </c>
      <c r="AU40" s="478">
        <f t="shared" si="132"/>
        <v>0</v>
      </c>
      <c r="AV40" s="478">
        <f t="shared" si="133"/>
        <v>0</v>
      </c>
      <c r="AX40" s="478">
        <f t="shared" si="134"/>
        <v>0</v>
      </c>
      <c r="AY40" s="478">
        <f t="shared" si="135"/>
        <v>0</v>
      </c>
      <c r="AZ40" s="478">
        <f t="shared" si="136"/>
        <v>0</v>
      </c>
      <c r="BA40" s="478">
        <f t="shared" si="137"/>
        <v>0</v>
      </c>
      <c r="BB40" s="478">
        <f t="shared" si="138"/>
        <v>0</v>
      </c>
      <c r="BC40" s="478">
        <f t="shared" si="139"/>
        <v>0</v>
      </c>
      <c r="BD40" s="478">
        <f t="shared" si="140"/>
        <v>0</v>
      </c>
      <c r="BF40" s="478">
        <f t="shared" si="141"/>
        <v>0</v>
      </c>
      <c r="BG40" s="478">
        <f t="shared" si="142"/>
        <v>0</v>
      </c>
      <c r="BH40" s="478">
        <f t="shared" si="143"/>
        <v>0</v>
      </c>
      <c r="BI40" s="478">
        <f t="shared" si="144"/>
        <v>0</v>
      </c>
      <c r="BJ40" s="478">
        <f t="shared" si="145"/>
        <v>0</v>
      </c>
      <c r="BK40" s="478">
        <f t="shared" si="146"/>
        <v>0</v>
      </c>
      <c r="BM40" s="478">
        <f t="shared" si="147"/>
        <v>0</v>
      </c>
      <c r="BN40" s="478">
        <f t="shared" si="148"/>
        <v>0</v>
      </c>
      <c r="BO40" s="478">
        <f t="shared" si="149"/>
        <v>0</v>
      </c>
      <c r="BP40" s="478">
        <f t="shared" si="150"/>
        <v>0</v>
      </c>
      <c r="BQ40" s="478">
        <f t="shared" si="151"/>
        <v>0</v>
      </c>
      <c r="BR40" s="478">
        <f t="shared" si="152"/>
        <v>0</v>
      </c>
      <c r="BT40" s="475">
        <f t="shared" si="153"/>
        <v>0</v>
      </c>
      <c r="BU40" s="475">
        <f t="shared" si="154"/>
        <v>0</v>
      </c>
    </row>
    <row r="41" spans="1:73" s="477" customFormat="1" x14ac:dyDescent="0.25">
      <c r="A41" s="769" t="s">
        <v>210</v>
      </c>
      <c r="B41" s="468" t="str">
        <f>'ADU-111'!$B$7</f>
        <v>Logement privé</v>
      </c>
      <c r="C41" s="468" t="str">
        <f>'ADU-111'!$B$8</f>
        <v>Rénovation - isolation de logements privés - Toitures</v>
      </c>
      <c r="D41" s="468" t="str">
        <f>'ADU-111'!$C$4</f>
        <v>Logement</v>
      </c>
      <c r="E41" s="468" t="str">
        <f>'ADU-111'!$B$11</f>
        <v>Citoyen</v>
      </c>
      <c r="F41" s="468" t="str">
        <f>'ADU-111'!$B$5</f>
        <v>ECOPACK</v>
      </c>
      <c r="G41" s="469">
        <f>'ADU-111'!$B$16</f>
        <v>1100000</v>
      </c>
      <c r="H41" s="468" t="str">
        <f>'ADU-111'!$B$6</f>
        <v>Prime RW</v>
      </c>
      <c r="I41" s="469">
        <f>'ADU-111'!$B$17</f>
        <v>110000</v>
      </c>
      <c r="J41" s="469">
        <f>'ADU-111'!$B$20</f>
        <v>67315.143279172815</v>
      </c>
      <c r="K41" s="469">
        <f>'ADU-111'!$B$21</f>
        <v>0</v>
      </c>
      <c r="L41" s="470">
        <f>'ADU-111'!$B$23</f>
        <v>14.706943367768249</v>
      </c>
      <c r="M41" s="471">
        <f>'ADU-111'!$B$24</f>
        <v>227.2516064992615</v>
      </c>
      <c r="N41" s="472">
        <f>IF(G41=0,0,M41/(G41-I41)*1000)</f>
        <v>0.22954707727198131</v>
      </c>
      <c r="O41" s="473" t="str">
        <f>'ADU-111'!$E$5</f>
        <v>En cours</v>
      </c>
      <c r="P41" s="474">
        <f>'ADU-10'!$B$15</f>
        <v>2020</v>
      </c>
      <c r="Q41" s="539" t="str">
        <f t="shared" si="50"/>
        <v/>
      </c>
      <c r="R41" s="475">
        <f t="shared" si="106"/>
        <v>0</v>
      </c>
      <c r="S41" s="475">
        <f t="shared" si="107"/>
        <v>0</v>
      </c>
      <c r="T41" s="475">
        <f t="shared" si="108"/>
        <v>0</v>
      </c>
      <c r="U41" s="476">
        <f t="shared" si="109"/>
        <v>0</v>
      </c>
      <c r="V41" s="475">
        <f t="shared" si="110"/>
        <v>0</v>
      </c>
      <c r="W41" s="475">
        <f t="shared" si="111"/>
        <v>0</v>
      </c>
      <c r="X41" s="475">
        <f t="shared" si="112"/>
        <v>0</v>
      </c>
      <c r="Z41" s="478">
        <f t="shared" si="113"/>
        <v>0</v>
      </c>
      <c r="AA41" s="478">
        <f t="shared" si="114"/>
        <v>0</v>
      </c>
      <c r="AB41" s="478">
        <f t="shared" si="115"/>
        <v>0</v>
      </c>
      <c r="AC41" s="478">
        <f t="shared" si="116"/>
        <v>0</v>
      </c>
      <c r="AD41" s="478">
        <f t="shared" si="117"/>
        <v>0</v>
      </c>
      <c r="AE41" s="478">
        <f t="shared" si="118"/>
        <v>0</v>
      </c>
      <c r="AF41" s="478">
        <f t="shared" si="119"/>
        <v>0</v>
      </c>
      <c r="AH41" s="478">
        <f t="shared" si="120"/>
        <v>0</v>
      </c>
      <c r="AI41" s="478">
        <f t="shared" si="121"/>
        <v>0</v>
      </c>
      <c r="AJ41" s="478">
        <f t="shared" si="122"/>
        <v>0</v>
      </c>
      <c r="AK41" s="478">
        <f t="shared" si="123"/>
        <v>0</v>
      </c>
      <c r="AL41" s="478">
        <f t="shared" si="124"/>
        <v>0</v>
      </c>
      <c r="AM41" s="478">
        <f t="shared" si="125"/>
        <v>0</v>
      </c>
      <c r="AN41" s="478">
        <f t="shared" si="126"/>
        <v>0</v>
      </c>
      <c r="AP41" s="478">
        <f t="shared" si="127"/>
        <v>0</v>
      </c>
      <c r="AQ41" s="478">
        <f t="shared" si="128"/>
        <v>0</v>
      </c>
      <c r="AR41" s="478">
        <f t="shared" si="129"/>
        <v>0</v>
      </c>
      <c r="AS41" s="478">
        <f t="shared" si="130"/>
        <v>0</v>
      </c>
      <c r="AT41" s="478">
        <f t="shared" si="131"/>
        <v>0</v>
      </c>
      <c r="AU41" s="478">
        <f t="shared" si="132"/>
        <v>0</v>
      </c>
      <c r="AV41" s="478">
        <f t="shared" si="133"/>
        <v>0</v>
      </c>
      <c r="AX41" s="478">
        <f t="shared" si="134"/>
        <v>0</v>
      </c>
      <c r="AY41" s="478">
        <f t="shared" si="135"/>
        <v>0</v>
      </c>
      <c r="AZ41" s="478">
        <f t="shared" si="136"/>
        <v>0</v>
      </c>
      <c r="BA41" s="478">
        <f t="shared" si="137"/>
        <v>0</v>
      </c>
      <c r="BB41" s="478">
        <f t="shared" si="138"/>
        <v>0</v>
      </c>
      <c r="BC41" s="478">
        <f t="shared" si="139"/>
        <v>0</v>
      </c>
      <c r="BD41" s="478">
        <f t="shared" si="140"/>
        <v>0</v>
      </c>
      <c r="BF41" s="478">
        <f t="shared" si="141"/>
        <v>0</v>
      </c>
      <c r="BG41" s="478">
        <f t="shared" si="142"/>
        <v>0</v>
      </c>
      <c r="BH41" s="478">
        <f t="shared" si="143"/>
        <v>0</v>
      </c>
      <c r="BI41" s="478">
        <f t="shared" si="144"/>
        <v>0</v>
      </c>
      <c r="BJ41" s="478">
        <f t="shared" si="145"/>
        <v>0</v>
      </c>
      <c r="BK41" s="478">
        <f t="shared" si="146"/>
        <v>0</v>
      </c>
      <c r="BM41" s="478">
        <f t="shared" si="147"/>
        <v>0</v>
      </c>
      <c r="BN41" s="478">
        <f t="shared" si="148"/>
        <v>0</v>
      </c>
      <c r="BO41" s="478">
        <f t="shared" si="149"/>
        <v>0</v>
      </c>
      <c r="BP41" s="478">
        <f t="shared" si="150"/>
        <v>0</v>
      </c>
      <c r="BQ41" s="478">
        <f t="shared" si="151"/>
        <v>0</v>
      </c>
      <c r="BR41" s="478">
        <f t="shared" si="152"/>
        <v>0</v>
      </c>
      <c r="BT41" s="475">
        <f t="shared" si="153"/>
        <v>0</v>
      </c>
      <c r="BU41" s="475">
        <f t="shared" si="154"/>
        <v>0</v>
      </c>
    </row>
    <row r="42" spans="1:73" s="477" customFormat="1" x14ac:dyDescent="0.25">
      <c r="A42" s="769" t="s">
        <v>211</v>
      </c>
      <c r="B42" s="468" t="str">
        <f>'ADU-112'!$B$7</f>
        <v>Logement privé</v>
      </c>
      <c r="C42" s="468" t="str">
        <f>'ADU-112'!$B$8</f>
        <v>Rénovation - isolation de logements privés - Murs extérieurs</v>
      </c>
      <c r="D42" s="468" t="str">
        <f>'ADU-112'!$C$4</f>
        <v>Logement</v>
      </c>
      <c r="E42" s="468" t="str">
        <f>'ADU-112'!$B$11</f>
        <v>Citoyen</v>
      </c>
      <c r="F42" s="468" t="str">
        <f>'ADU-112'!$B$5</f>
        <v>ECOPACK</v>
      </c>
      <c r="G42" s="469">
        <f>'ADU-112'!$B$16</f>
        <v>1400000</v>
      </c>
      <c r="H42" s="468" t="str">
        <f>'ADU-112'!$B$6</f>
        <v>Prime RW</v>
      </c>
      <c r="I42" s="469">
        <f>'ADU-112'!$B$17</f>
        <v>126000</v>
      </c>
      <c r="J42" s="469">
        <f>'ADU-112'!$B$20</f>
        <v>36920.295420974886</v>
      </c>
      <c r="K42" s="469">
        <f>'ADU-112'!$B$21</f>
        <v>0</v>
      </c>
      <c r="L42" s="470">
        <f>'ADU-112'!$B$23</f>
        <v>34.506766142402654</v>
      </c>
      <c r="M42" s="471">
        <f>'ADU-112'!$B$24</f>
        <v>101.45161004431316</v>
      </c>
      <c r="N42" s="472">
        <f>IF(G42=0,0,M42/(G42-I42)*1000)</f>
        <v>7.9632346973558199E-2</v>
      </c>
      <c r="O42" s="473" t="str">
        <f>'ADU-112'!$E$5</f>
        <v>En cours</v>
      </c>
      <c r="P42" s="474">
        <f>'ADU-10'!$B$15</f>
        <v>2020</v>
      </c>
      <c r="Q42" s="539" t="str">
        <f t="shared" si="50"/>
        <v/>
      </c>
      <c r="R42" s="475">
        <f t="shared" si="106"/>
        <v>0</v>
      </c>
      <c r="S42" s="475">
        <f t="shared" si="107"/>
        <v>0</v>
      </c>
      <c r="T42" s="475">
        <f t="shared" si="108"/>
        <v>0</v>
      </c>
      <c r="U42" s="476">
        <f t="shared" si="109"/>
        <v>0</v>
      </c>
      <c r="V42" s="475">
        <f t="shared" si="110"/>
        <v>0</v>
      </c>
      <c r="W42" s="475">
        <f t="shared" si="111"/>
        <v>0</v>
      </c>
      <c r="X42" s="475">
        <f t="shared" si="112"/>
        <v>0</v>
      </c>
      <c r="Z42" s="478">
        <f t="shared" si="113"/>
        <v>0</v>
      </c>
      <c r="AA42" s="478">
        <f t="shared" si="114"/>
        <v>0</v>
      </c>
      <c r="AB42" s="478">
        <f t="shared" si="115"/>
        <v>0</v>
      </c>
      <c r="AC42" s="478">
        <f t="shared" si="116"/>
        <v>0</v>
      </c>
      <c r="AD42" s="478">
        <f t="shared" si="117"/>
        <v>0</v>
      </c>
      <c r="AE42" s="478">
        <f t="shared" si="118"/>
        <v>0</v>
      </c>
      <c r="AF42" s="478">
        <f t="shared" si="119"/>
        <v>0</v>
      </c>
      <c r="AH42" s="478">
        <f t="shared" si="120"/>
        <v>0</v>
      </c>
      <c r="AI42" s="478">
        <f t="shared" si="121"/>
        <v>0</v>
      </c>
      <c r="AJ42" s="478">
        <f t="shared" si="122"/>
        <v>0</v>
      </c>
      <c r="AK42" s="478">
        <f t="shared" si="123"/>
        <v>0</v>
      </c>
      <c r="AL42" s="478">
        <f t="shared" si="124"/>
        <v>0</v>
      </c>
      <c r="AM42" s="478">
        <f t="shared" si="125"/>
        <v>0</v>
      </c>
      <c r="AN42" s="478">
        <f t="shared" si="126"/>
        <v>0</v>
      </c>
      <c r="AP42" s="478">
        <f t="shared" si="127"/>
        <v>0</v>
      </c>
      <c r="AQ42" s="478">
        <f t="shared" si="128"/>
        <v>0</v>
      </c>
      <c r="AR42" s="478">
        <f t="shared" si="129"/>
        <v>0</v>
      </c>
      <c r="AS42" s="478">
        <f t="shared" si="130"/>
        <v>0</v>
      </c>
      <c r="AT42" s="478">
        <f t="shared" si="131"/>
        <v>0</v>
      </c>
      <c r="AU42" s="478">
        <f t="shared" si="132"/>
        <v>0</v>
      </c>
      <c r="AV42" s="478">
        <f t="shared" si="133"/>
        <v>0</v>
      </c>
      <c r="AX42" s="478">
        <f t="shared" si="134"/>
        <v>0</v>
      </c>
      <c r="AY42" s="478">
        <f t="shared" si="135"/>
        <v>0</v>
      </c>
      <c r="AZ42" s="478">
        <f t="shared" si="136"/>
        <v>0</v>
      </c>
      <c r="BA42" s="478">
        <f t="shared" si="137"/>
        <v>0</v>
      </c>
      <c r="BB42" s="478">
        <f t="shared" si="138"/>
        <v>0</v>
      </c>
      <c r="BC42" s="478">
        <f t="shared" si="139"/>
        <v>0</v>
      </c>
      <c r="BD42" s="478">
        <f t="shared" si="140"/>
        <v>0</v>
      </c>
      <c r="BF42" s="478">
        <f t="shared" si="141"/>
        <v>0</v>
      </c>
      <c r="BG42" s="478">
        <f t="shared" si="142"/>
        <v>0</v>
      </c>
      <c r="BH42" s="478">
        <f t="shared" si="143"/>
        <v>0</v>
      </c>
      <c r="BI42" s="478">
        <f t="shared" si="144"/>
        <v>0</v>
      </c>
      <c r="BJ42" s="478">
        <f t="shared" si="145"/>
        <v>0</v>
      </c>
      <c r="BK42" s="478">
        <f t="shared" si="146"/>
        <v>0</v>
      </c>
      <c r="BM42" s="478">
        <f t="shared" si="147"/>
        <v>0</v>
      </c>
      <c r="BN42" s="478">
        <f t="shared" si="148"/>
        <v>0</v>
      </c>
      <c r="BO42" s="478">
        <f t="shared" si="149"/>
        <v>0</v>
      </c>
      <c r="BP42" s="478">
        <f t="shared" si="150"/>
        <v>0</v>
      </c>
      <c r="BQ42" s="478">
        <f t="shared" si="151"/>
        <v>0</v>
      </c>
      <c r="BR42" s="478">
        <f t="shared" si="152"/>
        <v>0</v>
      </c>
      <c r="BT42" s="475">
        <f t="shared" si="153"/>
        <v>0</v>
      </c>
      <c r="BU42" s="475">
        <f t="shared" si="154"/>
        <v>0</v>
      </c>
    </row>
    <row r="43" spans="1:73" s="477" customFormat="1" x14ac:dyDescent="0.25">
      <c r="A43" s="769" t="s">
        <v>196</v>
      </c>
      <c r="B43" s="468" t="str">
        <f>'ADU-113'!$B$7</f>
        <v>Logement privé</v>
      </c>
      <c r="C43" s="468" t="str">
        <f>'ADU-113'!$B$8</f>
        <v>Rénovation - isolation de logements privés - vitrages</v>
      </c>
      <c r="D43" s="468" t="str">
        <f>'ADU-113'!$C$4</f>
        <v>Logement</v>
      </c>
      <c r="E43" s="468" t="str">
        <f>'ADU-113'!$B$11</f>
        <v>Citoyen</v>
      </c>
      <c r="F43" s="468" t="str">
        <f>'ADU-113'!$B$5</f>
        <v>ECOPACK</v>
      </c>
      <c r="G43" s="469">
        <f>'ADU-113'!$B$16</f>
        <v>324000</v>
      </c>
      <c r="H43" s="468" t="str">
        <f>'ADU-113'!$B$6</f>
        <v>Prime RW</v>
      </c>
      <c r="I43" s="469">
        <f>'ADU-113'!$B$17</f>
        <v>10800</v>
      </c>
      <c r="J43" s="469">
        <f>'ADU-113'!$B$20</f>
        <v>8860.8709010339753</v>
      </c>
      <c r="K43" s="469">
        <f>'ADU-113'!$B$21</f>
        <v>0</v>
      </c>
      <c r="L43" s="470">
        <f>'ADU-113'!$B$23</f>
        <v>35.346412728285287</v>
      </c>
      <c r="M43" s="471">
        <f>'ADU-113'!$B$24</f>
        <v>24.348386410635161</v>
      </c>
      <c r="N43" s="472">
        <f t="shared" si="0"/>
        <v>7.7740697351964122E-2</v>
      </c>
      <c r="O43" s="473" t="str">
        <f>'ADU-113'!$E$5</f>
        <v>En cours</v>
      </c>
      <c r="P43" s="474">
        <f>'ADU-113'!$B$15</f>
        <v>2020</v>
      </c>
      <c r="Q43" s="539" t="str">
        <f t="shared" si="50"/>
        <v/>
      </c>
      <c r="R43" s="475">
        <f t="shared" si="106"/>
        <v>0</v>
      </c>
      <c r="S43" s="475">
        <f t="shared" si="107"/>
        <v>0</v>
      </c>
      <c r="T43" s="475">
        <f t="shared" si="108"/>
        <v>0</v>
      </c>
      <c r="U43" s="476">
        <f t="shared" si="109"/>
        <v>0</v>
      </c>
      <c r="V43" s="475">
        <f t="shared" si="110"/>
        <v>0</v>
      </c>
      <c r="W43" s="475">
        <f t="shared" si="111"/>
        <v>0</v>
      </c>
      <c r="X43" s="475">
        <f t="shared" si="112"/>
        <v>0</v>
      </c>
      <c r="Z43" s="478">
        <f t="shared" si="113"/>
        <v>0</v>
      </c>
      <c r="AA43" s="478">
        <f t="shared" si="114"/>
        <v>0</v>
      </c>
      <c r="AB43" s="478">
        <f t="shared" si="115"/>
        <v>0</v>
      </c>
      <c r="AC43" s="478">
        <f t="shared" si="116"/>
        <v>0</v>
      </c>
      <c r="AD43" s="478">
        <f t="shared" si="117"/>
        <v>0</v>
      </c>
      <c r="AE43" s="478">
        <f t="shared" si="118"/>
        <v>0</v>
      </c>
      <c r="AF43" s="478">
        <f t="shared" si="119"/>
        <v>0</v>
      </c>
      <c r="AH43" s="478">
        <f t="shared" si="120"/>
        <v>0</v>
      </c>
      <c r="AI43" s="478">
        <f t="shared" si="121"/>
        <v>0</v>
      </c>
      <c r="AJ43" s="478">
        <f t="shared" si="122"/>
        <v>0</v>
      </c>
      <c r="AK43" s="478">
        <f t="shared" si="123"/>
        <v>0</v>
      </c>
      <c r="AL43" s="478">
        <f t="shared" si="124"/>
        <v>0</v>
      </c>
      <c r="AM43" s="478">
        <f t="shared" si="125"/>
        <v>0</v>
      </c>
      <c r="AN43" s="478">
        <f t="shared" si="126"/>
        <v>0</v>
      </c>
      <c r="AP43" s="478">
        <f t="shared" si="127"/>
        <v>0</v>
      </c>
      <c r="AQ43" s="478">
        <f t="shared" si="128"/>
        <v>0</v>
      </c>
      <c r="AR43" s="478">
        <f t="shared" si="129"/>
        <v>0</v>
      </c>
      <c r="AS43" s="478">
        <f t="shared" si="130"/>
        <v>0</v>
      </c>
      <c r="AT43" s="478">
        <f t="shared" si="131"/>
        <v>0</v>
      </c>
      <c r="AU43" s="478">
        <f t="shared" si="132"/>
        <v>0</v>
      </c>
      <c r="AV43" s="478">
        <f t="shared" si="133"/>
        <v>0</v>
      </c>
      <c r="AX43" s="478">
        <f t="shared" si="134"/>
        <v>0</v>
      </c>
      <c r="AY43" s="478">
        <f t="shared" si="135"/>
        <v>0</v>
      </c>
      <c r="AZ43" s="478">
        <f t="shared" si="136"/>
        <v>0</v>
      </c>
      <c r="BA43" s="478">
        <f t="shared" si="137"/>
        <v>0</v>
      </c>
      <c r="BB43" s="478">
        <f t="shared" si="138"/>
        <v>0</v>
      </c>
      <c r="BC43" s="478">
        <f t="shared" si="139"/>
        <v>0</v>
      </c>
      <c r="BD43" s="478">
        <f t="shared" si="140"/>
        <v>0</v>
      </c>
      <c r="BF43" s="478">
        <f t="shared" si="141"/>
        <v>0</v>
      </c>
      <c r="BG43" s="478">
        <f t="shared" si="142"/>
        <v>0</v>
      </c>
      <c r="BH43" s="478">
        <f t="shared" si="143"/>
        <v>0</v>
      </c>
      <c r="BI43" s="478">
        <f t="shared" si="144"/>
        <v>0</v>
      </c>
      <c r="BJ43" s="478">
        <f t="shared" si="145"/>
        <v>0</v>
      </c>
      <c r="BK43" s="478">
        <f t="shared" si="146"/>
        <v>0</v>
      </c>
      <c r="BM43" s="478">
        <f t="shared" si="147"/>
        <v>0</v>
      </c>
      <c r="BN43" s="478">
        <f t="shared" si="148"/>
        <v>0</v>
      </c>
      <c r="BO43" s="478">
        <f t="shared" si="149"/>
        <v>0</v>
      </c>
      <c r="BP43" s="478">
        <f t="shared" si="150"/>
        <v>0</v>
      </c>
      <c r="BQ43" s="478">
        <f t="shared" si="151"/>
        <v>0</v>
      </c>
      <c r="BR43" s="478">
        <f t="shared" si="152"/>
        <v>0</v>
      </c>
      <c r="BT43" s="475">
        <f t="shared" si="153"/>
        <v>0</v>
      </c>
      <c r="BU43" s="475">
        <f t="shared" si="154"/>
        <v>0</v>
      </c>
    </row>
    <row r="44" spans="1:73" s="477" customFormat="1" x14ac:dyDescent="0.25">
      <c r="A44" s="676" t="s">
        <v>700</v>
      </c>
      <c r="B44" s="468" t="str">
        <f>'ADU-114'!$B$7</f>
        <v>Logement privé</v>
      </c>
      <c r="C44" s="468" t="str">
        <f>'ADU-114'!$B$8</f>
        <v>Rénovation - isolation complète de logements privés</v>
      </c>
      <c r="D44" s="468" t="str">
        <f>'ADU-114'!$C$4</f>
        <v>Logement</v>
      </c>
      <c r="E44" s="468" t="str">
        <f>'ADU-114'!$B$11</f>
        <v>Citoyen</v>
      </c>
      <c r="F44" s="468" t="str">
        <f>'ADU-114'!$B$5</f>
        <v>ECOPACK</v>
      </c>
      <c r="G44" s="469">
        <f>'ADU-114'!$B$16</f>
        <v>1538500</v>
      </c>
      <c r="H44" s="468" t="str">
        <f>'ADU-114'!$B$6</f>
        <v>Prime RW</v>
      </c>
      <c r="I44" s="469">
        <f>'ADU-114'!$B$17</f>
        <v>271500</v>
      </c>
      <c r="J44" s="469">
        <f>'ADU-114'!$B$20</f>
        <v>51688.413589364849</v>
      </c>
      <c r="K44" s="469">
        <f>'ADU-114'!$B$21</f>
        <v>0</v>
      </c>
      <c r="L44" s="470">
        <f>'ADU-114'!$B$23</f>
        <v>24.512263233025429</v>
      </c>
      <c r="M44" s="471">
        <f>'ADU-114'!$B$24</f>
        <v>142.03225406203845</v>
      </c>
      <c r="N44" s="472">
        <f>IF(G44=0,0,M44/(G44-I44)*1000)</f>
        <v>0.11210122656830186</v>
      </c>
      <c r="O44" s="473" t="str">
        <f>'ADU-114'!$E$5</f>
        <v>En cours</v>
      </c>
      <c r="P44" s="474">
        <f>'ADU-114'!$B$15</f>
        <v>2020</v>
      </c>
      <c r="Q44" s="539" t="str">
        <f t="shared" si="50"/>
        <v/>
      </c>
      <c r="R44" s="475">
        <f t="shared" si="106"/>
        <v>0</v>
      </c>
      <c r="S44" s="475">
        <f t="shared" si="107"/>
        <v>0</v>
      </c>
      <c r="T44" s="475">
        <f t="shared" si="108"/>
        <v>0</v>
      </c>
      <c r="U44" s="476">
        <f t="shared" si="109"/>
        <v>0</v>
      </c>
      <c r="V44" s="475">
        <f t="shared" si="110"/>
        <v>0</v>
      </c>
      <c r="W44" s="475">
        <f t="shared" si="111"/>
        <v>0</v>
      </c>
      <c r="X44" s="475">
        <f t="shared" si="112"/>
        <v>0</v>
      </c>
      <c r="Z44" s="478">
        <f t="shared" si="113"/>
        <v>0</v>
      </c>
      <c r="AA44" s="478">
        <f t="shared" si="114"/>
        <v>0</v>
      </c>
      <c r="AB44" s="478">
        <f t="shared" si="115"/>
        <v>0</v>
      </c>
      <c r="AC44" s="478">
        <f t="shared" si="116"/>
        <v>0</v>
      </c>
      <c r="AD44" s="478">
        <f t="shared" si="117"/>
        <v>0</v>
      </c>
      <c r="AE44" s="478">
        <f t="shared" si="118"/>
        <v>0</v>
      </c>
      <c r="AF44" s="478">
        <f t="shared" si="119"/>
        <v>0</v>
      </c>
      <c r="AH44" s="478">
        <f t="shared" si="120"/>
        <v>0</v>
      </c>
      <c r="AI44" s="478">
        <f t="shared" si="121"/>
        <v>0</v>
      </c>
      <c r="AJ44" s="478">
        <f t="shared" si="122"/>
        <v>0</v>
      </c>
      <c r="AK44" s="478">
        <f t="shared" si="123"/>
        <v>0</v>
      </c>
      <c r="AL44" s="478">
        <f t="shared" si="124"/>
        <v>0</v>
      </c>
      <c r="AM44" s="478">
        <f t="shared" si="125"/>
        <v>0</v>
      </c>
      <c r="AN44" s="478">
        <f t="shared" si="126"/>
        <v>0</v>
      </c>
      <c r="AP44" s="478">
        <f t="shared" si="127"/>
        <v>0</v>
      </c>
      <c r="AQ44" s="478">
        <f t="shared" si="128"/>
        <v>0</v>
      </c>
      <c r="AR44" s="478">
        <f t="shared" si="129"/>
        <v>0</v>
      </c>
      <c r="AS44" s="478">
        <f t="shared" si="130"/>
        <v>0</v>
      </c>
      <c r="AT44" s="478">
        <f t="shared" si="131"/>
        <v>0</v>
      </c>
      <c r="AU44" s="478">
        <f t="shared" si="132"/>
        <v>0</v>
      </c>
      <c r="AV44" s="478">
        <f t="shared" si="133"/>
        <v>0</v>
      </c>
      <c r="AX44" s="478">
        <f t="shared" si="134"/>
        <v>0</v>
      </c>
      <c r="AY44" s="478">
        <f t="shared" si="135"/>
        <v>0</v>
      </c>
      <c r="AZ44" s="478">
        <f t="shared" si="136"/>
        <v>0</v>
      </c>
      <c r="BA44" s="478">
        <f t="shared" si="137"/>
        <v>0</v>
      </c>
      <c r="BB44" s="478">
        <f t="shared" si="138"/>
        <v>0</v>
      </c>
      <c r="BC44" s="478">
        <f t="shared" si="139"/>
        <v>0</v>
      </c>
      <c r="BD44" s="478">
        <f t="shared" si="140"/>
        <v>0</v>
      </c>
      <c r="BF44" s="478">
        <f t="shared" si="141"/>
        <v>0</v>
      </c>
      <c r="BG44" s="478">
        <f t="shared" si="142"/>
        <v>0</v>
      </c>
      <c r="BH44" s="478">
        <f t="shared" si="143"/>
        <v>0</v>
      </c>
      <c r="BI44" s="478">
        <f t="shared" si="144"/>
        <v>0</v>
      </c>
      <c r="BJ44" s="478">
        <f t="shared" si="145"/>
        <v>0</v>
      </c>
      <c r="BK44" s="478">
        <f t="shared" si="146"/>
        <v>0</v>
      </c>
      <c r="BM44" s="478">
        <f t="shared" si="147"/>
        <v>0</v>
      </c>
      <c r="BN44" s="478">
        <f t="shared" si="148"/>
        <v>0</v>
      </c>
      <c r="BO44" s="478">
        <f t="shared" si="149"/>
        <v>0</v>
      </c>
      <c r="BP44" s="478">
        <f t="shared" si="150"/>
        <v>0</v>
      </c>
      <c r="BQ44" s="478">
        <f t="shared" si="151"/>
        <v>0</v>
      </c>
      <c r="BR44" s="478">
        <f t="shared" si="152"/>
        <v>0</v>
      </c>
      <c r="BT44" s="475">
        <f t="shared" si="153"/>
        <v>0</v>
      </c>
      <c r="BU44" s="475">
        <f t="shared" si="154"/>
        <v>0</v>
      </c>
    </row>
    <row r="45" spans="1:73" s="417" customFormat="1" x14ac:dyDescent="0.25">
      <c r="A45" s="768" t="s">
        <v>95</v>
      </c>
      <c r="B45" s="409" t="str">
        <f>'ADU-12'!$B$7</f>
        <v>Ecoles</v>
      </c>
      <c r="C45" s="409" t="str">
        <f>'ADU-12'!$B$8</f>
        <v xml:space="preserve">Economies d'énergie dans les bâtiments scolaires </v>
      </c>
      <c r="D45" s="409" t="str">
        <f>'ADU-12'!$C$4</f>
        <v>Communal</v>
      </c>
      <c r="E45" s="409" t="str">
        <f>'ADU-12'!$B$11</f>
        <v>AC HABAY</v>
      </c>
      <c r="F45" s="409" t="str">
        <f>'ADU-12'!$B$5</f>
        <v>Prêt bancaire</v>
      </c>
      <c r="G45" s="591">
        <f>'ADU-12'!$B$16</f>
        <v>1200000</v>
      </c>
      <c r="H45" s="409" t="str">
        <f>'ADU-12'!$B$6</f>
        <v>Subs RW</v>
      </c>
      <c r="I45" s="410">
        <f>'ADU-12'!$B$17</f>
        <v>600000</v>
      </c>
      <c r="J45" s="410">
        <f>'ADU-12'!$B$20</f>
        <v>27631.8</v>
      </c>
      <c r="K45" s="410">
        <f>'ADU-12'!$B$21</f>
        <v>0</v>
      </c>
      <c r="L45" s="419">
        <f>'ADU-12'!$B$23</f>
        <v>21.714112001389704</v>
      </c>
      <c r="M45" s="412">
        <f>'ADU-12'!$B$24</f>
        <v>83.859300000000005</v>
      </c>
      <c r="N45" s="413">
        <f t="shared" si="0"/>
        <v>0.13976550000000001</v>
      </c>
      <c r="O45" s="414" t="str">
        <f>'ADU-12'!$E$5</f>
        <v>En cours</v>
      </c>
      <c r="P45" s="421">
        <f>'ADU-12'!$B$15</f>
        <v>2020</v>
      </c>
      <c r="Q45" s="652" t="str">
        <f t="shared" si="50"/>
        <v/>
      </c>
      <c r="R45" s="416">
        <f t="shared" si="106"/>
        <v>0</v>
      </c>
      <c r="S45" s="416">
        <f t="shared" si="107"/>
        <v>0</v>
      </c>
      <c r="T45" s="416">
        <f t="shared" si="108"/>
        <v>0</v>
      </c>
      <c r="U45" s="416">
        <f t="shared" si="109"/>
        <v>0</v>
      </c>
      <c r="V45" s="416">
        <f t="shared" si="110"/>
        <v>0</v>
      </c>
      <c r="W45" s="416">
        <f t="shared" si="111"/>
        <v>0</v>
      </c>
      <c r="X45" s="550">
        <f t="shared" si="112"/>
        <v>0</v>
      </c>
      <c r="Z45" s="418">
        <f t="shared" si="113"/>
        <v>0</v>
      </c>
      <c r="AA45" s="418">
        <f t="shared" si="114"/>
        <v>0</v>
      </c>
      <c r="AB45" s="418">
        <f t="shared" si="115"/>
        <v>0</v>
      </c>
      <c r="AC45" s="418">
        <f t="shared" si="116"/>
        <v>0</v>
      </c>
      <c r="AD45" s="418">
        <f t="shared" si="117"/>
        <v>0</v>
      </c>
      <c r="AE45" s="418">
        <f t="shared" si="118"/>
        <v>0</v>
      </c>
      <c r="AF45" s="418">
        <f t="shared" si="119"/>
        <v>0</v>
      </c>
      <c r="AH45" s="418">
        <f t="shared" si="120"/>
        <v>0</v>
      </c>
      <c r="AI45" s="418">
        <f t="shared" si="121"/>
        <v>0</v>
      </c>
      <c r="AJ45" s="418">
        <f t="shared" si="122"/>
        <v>0</v>
      </c>
      <c r="AK45" s="418">
        <f t="shared" si="123"/>
        <v>0</v>
      </c>
      <c r="AL45" s="418">
        <f t="shared" si="124"/>
        <v>0</v>
      </c>
      <c r="AM45" s="418">
        <f t="shared" si="125"/>
        <v>0</v>
      </c>
      <c r="AN45" s="418">
        <f t="shared" si="126"/>
        <v>0</v>
      </c>
      <c r="AP45" s="418">
        <f t="shared" si="127"/>
        <v>0</v>
      </c>
      <c r="AQ45" s="418">
        <f t="shared" si="128"/>
        <v>0</v>
      </c>
      <c r="AR45" s="418">
        <f t="shared" si="129"/>
        <v>0</v>
      </c>
      <c r="AS45" s="418">
        <f t="shared" si="130"/>
        <v>0</v>
      </c>
      <c r="AT45" s="418">
        <f t="shared" si="131"/>
        <v>0</v>
      </c>
      <c r="AU45" s="418">
        <f t="shared" si="132"/>
        <v>0</v>
      </c>
      <c r="AV45" s="418">
        <f t="shared" si="133"/>
        <v>0</v>
      </c>
      <c r="AX45" s="418">
        <f t="shared" si="134"/>
        <v>0</v>
      </c>
      <c r="AY45" s="418">
        <f t="shared" si="135"/>
        <v>0</v>
      </c>
      <c r="AZ45" s="418">
        <f t="shared" si="136"/>
        <v>0</v>
      </c>
      <c r="BA45" s="418">
        <f t="shared" si="137"/>
        <v>0</v>
      </c>
      <c r="BB45" s="418">
        <f t="shared" si="138"/>
        <v>0</v>
      </c>
      <c r="BC45" s="418">
        <f t="shared" si="139"/>
        <v>0</v>
      </c>
      <c r="BD45" s="418">
        <f t="shared" si="140"/>
        <v>0</v>
      </c>
      <c r="BF45" s="418">
        <f t="shared" si="141"/>
        <v>0</v>
      </c>
      <c r="BG45" s="418">
        <f t="shared" si="142"/>
        <v>0</v>
      </c>
      <c r="BH45" s="418">
        <f t="shared" si="143"/>
        <v>0</v>
      </c>
      <c r="BI45" s="418">
        <f t="shared" si="144"/>
        <v>0</v>
      </c>
      <c r="BJ45" s="418">
        <f t="shared" si="145"/>
        <v>0</v>
      </c>
      <c r="BK45" s="418">
        <f t="shared" si="146"/>
        <v>0</v>
      </c>
      <c r="BM45" s="418">
        <f t="shared" si="147"/>
        <v>0</v>
      </c>
      <c r="BN45" s="418">
        <f t="shared" si="148"/>
        <v>0</v>
      </c>
      <c r="BO45" s="418">
        <f t="shared" si="149"/>
        <v>0</v>
      </c>
      <c r="BP45" s="418">
        <f t="shared" si="150"/>
        <v>0</v>
      </c>
      <c r="BQ45" s="418">
        <f t="shared" si="151"/>
        <v>0</v>
      </c>
      <c r="BR45" s="418">
        <f t="shared" si="152"/>
        <v>0</v>
      </c>
      <c r="BT45" s="416">
        <f t="shared" si="153"/>
        <v>0</v>
      </c>
      <c r="BU45" s="416">
        <f t="shared" si="154"/>
        <v>0</v>
      </c>
    </row>
    <row r="46" spans="1:73" s="477" customFormat="1" x14ac:dyDescent="0.25">
      <c r="A46" s="769" t="s">
        <v>98</v>
      </c>
      <c r="B46" s="468" t="str">
        <f>'ADU-13'!$B$7</f>
        <v>Logement</v>
      </c>
      <c r="C46" s="468" t="str">
        <f>'ADU-13'!$B$8</f>
        <v>Eclairage économique</v>
      </c>
      <c r="D46" s="468" t="str">
        <f>'ADU-13'!$C$4</f>
        <v>Logement</v>
      </c>
      <c r="E46" s="468" t="str">
        <f>'ADU-13'!$B$11</f>
        <v>Citoyen</v>
      </c>
      <c r="F46" s="468" t="str">
        <f>'ADU-13'!$B$5</f>
        <v>Fonds propres</v>
      </c>
      <c r="G46" s="469">
        <f>'ADU-13'!$B$16</f>
        <v>70000</v>
      </c>
      <c r="H46" s="468" t="str">
        <f>'ADU-13'!$B$6</f>
        <v>Pas de subside</v>
      </c>
      <c r="I46" s="469">
        <f>'ADU-13'!$B$17</f>
        <v>0</v>
      </c>
      <c r="J46" s="469">
        <f>'ADU-13'!$B$20</f>
        <v>26280</v>
      </c>
      <c r="K46" s="469">
        <f>'ADU-13'!$B$21</f>
        <v>0</v>
      </c>
      <c r="L46" s="470">
        <f>'ADU-13'!$B$23</f>
        <v>2.6636225266362255</v>
      </c>
      <c r="M46" s="471">
        <f>'ADU-13'!$B$24</f>
        <v>15.373800000000001</v>
      </c>
      <c r="N46" s="472">
        <f t="shared" si="0"/>
        <v>0.21962571428571431</v>
      </c>
      <c r="O46" s="473" t="str">
        <f>'ADU-13'!$E$5</f>
        <v>A faire</v>
      </c>
      <c r="P46" s="474">
        <f>'ADU-13'!$B$15</f>
        <v>2020</v>
      </c>
      <c r="Q46" s="539" t="str">
        <f t="shared" si="50"/>
        <v/>
      </c>
      <c r="R46" s="475">
        <f t="shared" si="106"/>
        <v>0</v>
      </c>
      <c r="S46" s="475">
        <f t="shared" si="107"/>
        <v>0</v>
      </c>
      <c r="T46" s="475">
        <f t="shared" si="108"/>
        <v>0</v>
      </c>
      <c r="U46" s="476">
        <f t="shared" si="109"/>
        <v>0</v>
      </c>
      <c r="V46" s="475">
        <f t="shared" si="110"/>
        <v>0</v>
      </c>
      <c r="W46" s="475">
        <f t="shared" si="111"/>
        <v>0</v>
      </c>
      <c r="X46" s="475">
        <f t="shared" si="112"/>
        <v>0</v>
      </c>
      <c r="Z46" s="478">
        <f t="shared" si="113"/>
        <v>0</v>
      </c>
      <c r="AA46" s="478">
        <f t="shared" si="114"/>
        <v>0</v>
      </c>
      <c r="AB46" s="478">
        <f t="shared" si="115"/>
        <v>0</v>
      </c>
      <c r="AC46" s="478">
        <f t="shared" si="116"/>
        <v>0</v>
      </c>
      <c r="AD46" s="478">
        <f t="shared" si="117"/>
        <v>0</v>
      </c>
      <c r="AE46" s="478">
        <f t="shared" si="118"/>
        <v>0</v>
      </c>
      <c r="AF46" s="478">
        <f t="shared" si="119"/>
        <v>0</v>
      </c>
      <c r="AH46" s="478">
        <f t="shared" si="120"/>
        <v>0</v>
      </c>
      <c r="AI46" s="478">
        <f t="shared" si="121"/>
        <v>0</v>
      </c>
      <c r="AJ46" s="478">
        <f t="shared" si="122"/>
        <v>0</v>
      </c>
      <c r="AK46" s="478">
        <f t="shared" si="123"/>
        <v>0</v>
      </c>
      <c r="AL46" s="478">
        <f t="shared" si="124"/>
        <v>0</v>
      </c>
      <c r="AM46" s="478">
        <f t="shared" si="125"/>
        <v>0</v>
      </c>
      <c r="AN46" s="478">
        <f t="shared" si="126"/>
        <v>0</v>
      </c>
      <c r="AP46" s="478">
        <f t="shared" si="127"/>
        <v>0</v>
      </c>
      <c r="AQ46" s="478">
        <f t="shared" si="128"/>
        <v>0</v>
      </c>
      <c r="AR46" s="478">
        <f t="shared" si="129"/>
        <v>0</v>
      </c>
      <c r="AS46" s="478">
        <f t="shared" si="130"/>
        <v>0</v>
      </c>
      <c r="AT46" s="478">
        <f t="shared" si="131"/>
        <v>0</v>
      </c>
      <c r="AU46" s="478">
        <f t="shared" si="132"/>
        <v>0</v>
      </c>
      <c r="AV46" s="478">
        <f t="shared" si="133"/>
        <v>0</v>
      </c>
      <c r="AX46" s="478">
        <f t="shared" si="134"/>
        <v>0</v>
      </c>
      <c r="AY46" s="478">
        <f t="shared" si="135"/>
        <v>0</v>
      </c>
      <c r="AZ46" s="478">
        <f t="shared" si="136"/>
        <v>0</v>
      </c>
      <c r="BA46" s="478">
        <f t="shared" si="137"/>
        <v>0</v>
      </c>
      <c r="BB46" s="478">
        <f t="shared" si="138"/>
        <v>0</v>
      </c>
      <c r="BC46" s="478">
        <f t="shared" si="139"/>
        <v>0</v>
      </c>
      <c r="BD46" s="478">
        <f t="shared" si="140"/>
        <v>0</v>
      </c>
      <c r="BF46" s="478">
        <f t="shared" si="141"/>
        <v>0</v>
      </c>
      <c r="BG46" s="478">
        <f t="shared" si="142"/>
        <v>0</v>
      </c>
      <c r="BH46" s="478">
        <f t="shared" si="143"/>
        <v>0</v>
      </c>
      <c r="BI46" s="478">
        <f t="shared" si="144"/>
        <v>0</v>
      </c>
      <c r="BJ46" s="478">
        <f t="shared" si="145"/>
        <v>0</v>
      </c>
      <c r="BK46" s="478">
        <f t="shared" si="146"/>
        <v>0</v>
      </c>
      <c r="BM46" s="478">
        <f t="shared" si="147"/>
        <v>0</v>
      </c>
      <c r="BN46" s="478">
        <f t="shared" si="148"/>
        <v>0</v>
      </c>
      <c r="BO46" s="478">
        <f t="shared" si="149"/>
        <v>0</v>
      </c>
      <c r="BP46" s="478">
        <f t="shared" si="150"/>
        <v>0</v>
      </c>
      <c r="BQ46" s="478">
        <f t="shared" si="151"/>
        <v>0</v>
      </c>
      <c r="BR46" s="478">
        <f t="shared" si="152"/>
        <v>0</v>
      </c>
      <c r="BT46" s="475">
        <f t="shared" si="153"/>
        <v>0</v>
      </c>
      <c r="BU46" s="475">
        <f t="shared" si="154"/>
        <v>15.373800000000001</v>
      </c>
    </row>
    <row r="47" spans="1:73" s="477" customFormat="1" x14ac:dyDescent="0.25">
      <c r="A47" s="676" t="s">
        <v>794</v>
      </c>
      <c r="B47" s="468" t="str">
        <f>'ADU-131'!$B$7</f>
        <v>Logement</v>
      </c>
      <c r="C47" s="468" t="str">
        <f>'ADU-131'!$B$8</f>
        <v>Equipements peu énergivore</v>
      </c>
      <c r="D47" s="468" t="str">
        <f>'ADU-131'!$C$4</f>
        <v>Logement</v>
      </c>
      <c r="E47" s="468" t="str">
        <f>'ADU-131'!$B$11</f>
        <v>Citoyen</v>
      </c>
      <c r="F47" s="468" t="str">
        <f>'ADU-131'!$B$5</f>
        <v>Fonds propres</v>
      </c>
      <c r="G47" s="469">
        <f>'ADU-131'!$B$16</f>
        <v>180000</v>
      </c>
      <c r="H47" s="468" t="str">
        <f>'ADU-131'!$B$6</f>
        <v>Pas de subside</v>
      </c>
      <c r="I47" s="469">
        <f>'ADU-131'!$B$17</f>
        <v>0</v>
      </c>
      <c r="J47" s="469">
        <f>'ADU-131'!$B$20</f>
        <v>21900</v>
      </c>
      <c r="K47" s="469">
        <f>'ADU-131'!$B$21</f>
        <v>0</v>
      </c>
      <c r="L47" s="470">
        <f>'ADU-131'!$B$23</f>
        <v>8.2191780821917817</v>
      </c>
      <c r="M47" s="471">
        <f>'ADU-131'!$B$24</f>
        <v>10.2492</v>
      </c>
      <c r="N47" s="472">
        <f t="shared" ref="N47" si="155">IF(G47=0,0,M47/(G47-I47)*1000)</f>
        <v>5.6939999999999998E-2</v>
      </c>
      <c r="O47" s="473" t="str">
        <f>'ADU-131'!$E$5</f>
        <v>En cours</v>
      </c>
      <c r="P47" s="474">
        <f>'ADU-131'!$B$15</f>
        <v>2020</v>
      </c>
      <c r="Q47" s="539" t="str">
        <f t="shared" si="50"/>
        <v/>
      </c>
      <c r="R47" s="475">
        <f t="shared" si="106"/>
        <v>0</v>
      </c>
      <c r="S47" s="475">
        <f t="shared" si="107"/>
        <v>0</v>
      </c>
      <c r="T47" s="475">
        <f t="shared" si="108"/>
        <v>0</v>
      </c>
      <c r="U47" s="476">
        <f t="shared" si="109"/>
        <v>0</v>
      </c>
      <c r="V47" s="475">
        <f t="shared" si="110"/>
        <v>0</v>
      </c>
      <c r="W47" s="475">
        <f t="shared" si="111"/>
        <v>0</v>
      </c>
      <c r="X47" s="475">
        <f t="shared" si="112"/>
        <v>0</v>
      </c>
      <c r="Z47" s="478">
        <f t="shared" si="113"/>
        <v>0</v>
      </c>
      <c r="AA47" s="478">
        <f t="shared" si="114"/>
        <v>0</v>
      </c>
      <c r="AB47" s="478">
        <f t="shared" si="115"/>
        <v>0</v>
      </c>
      <c r="AC47" s="478">
        <f t="shared" si="116"/>
        <v>0</v>
      </c>
      <c r="AD47" s="478">
        <f t="shared" si="117"/>
        <v>0</v>
      </c>
      <c r="AE47" s="478">
        <f t="shared" si="118"/>
        <v>0</v>
      </c>
      <c r="AF47" s="478">
        <f t="shared" si="119"/>
        <v>0</v>
      </c>
      <c r="AH47" s="478">
        <f t="shared" si="120"/>
        <v>0</v>
      </c>
      <c r="AI47" s="478">
        <f t="shared" si="121"/>
        <v>0</v>
      </c>
      <c r="AJ47" s="478">
        <f t="shared" si="122"/>
        <v>0</v>
      </c>
      <c r="AK47" s="478">
        <f t="shared" si="123"/>
        <v>0</v>
      </c>
      <c r="AL47" s="478">
        <f t="shared" si="124"/>
        <v>0</v>
      </c>
      <c r="AM47" s="478">
        <f t="shared" si="125"/>
        <v>0</v>
      </c>
      <c r="AN47" s="478">
        <f t="shared" si="126"/>
        <v>0</v>
      </c>
      <c r="AP47" s="478">
        <f t="shared" si="127"/>
        <v>0</v>
      </c>
      <c r="AQ47" s="478">
        <f t="shared" si="128"/>
        <v>0</v>
      </c>
      <c r="AR47" s="478">
        <f t="shared" si="129"/>
        <v>0</v>
      </c>
      <c r="AS47" s="478">
        <f t="shared" si="130"/>
        <v>0</v>
      </c>
      <c r="AT47" s="478">
        <f t="shared" si="131"/>
        <v>0</v>
      </c>
      <c r="AU47" s="478">
        <f t="shared" si="132"/>
        <v>0</v>
      </c>
      <c r="AV47" s="478">
        <f t="shared" si="133"/>
        <v>0</v>
      </c>
      <c r="AX47" s="478">
        <f t="shared" si="134"/>
        <v>0</v>
      </c>
      <c r="AY47" s="478">
        <f t="shared" si="135"/>
        <v>0</v>
      </c>
      <c r="AZ47" s="478">
        <f t="shared" si="136"/>
        <v>0</v>
      </c>
      <c r="BA47" s="478">
        <f t="shared" si="137"/>
        <v>0</v>
      </c>
      <c r="BB47" s="478">
        <f t="shared" si="138"/>
        <v>0</v>
      </c>
      <c r="BC47" s="478">
        <f t="shared" si="139"/>
        <v>0</v>
      </c>
      <c r="BD47" s="478">
        <f t="shared" si="140"/>
        <v>0</v>
      </c>
      <c r="BF47" s="478">
        <f t="shared" si="141"/>
        <v>0</v>
      </c>
      <c r="BG47" s="478">
        <f t="shared" si="142"/>
        <v>0</v>
      </c>
      <c r="BH47" s="478">
        <f t="shared" si="143"/>
        <v>0</v>
      </c>
      <c r="BI47" s="478">
        <f t="shared" si="144"/>
        <v>0</v>
      </c>
      <c r="BJ47" s="478">
        <f t="shared" si="145"/>
        <v>0</v>
      </c>
      <c r="BK47" s="478">
        <f t="shared" si="146"/>
        <v>0</v>
      </c>
      <c r="BM47" s="478">
        <f t="shared" si="147"/>
        <v>0</v>
      </c>
      <c r="BN47" s="478">
        <f t="shared" si="148"/>
        <v>0</v>
      </c>
      <c r="BO47" s="478">
        <f t="shared" si="149"/>
        <v>0</v>
      </c>
      <c r="BP47" s="478">
        <f t="shared" si="150"/>
        <v>0</v>
      </c>
      <c r="BQ47" s="478">
        <f t="shared" si="151"/>
        <v>0</v>
      </c>
      <c r="BR47" s="478">
        <f t="shared" si="152"/>
        <v>0</v>
      </c>
      <c r="BT47" s="475">
        <f t="shared" si="153"/>
        <v>0</v>
      </c>
      <c r="BU47" s="475">
        <f t="shared" si="154"/>
        <v>0</v>
      </c>
    </row>
    <row r="48" spans="1:73" s="477" customFormat="1" x14ac:dyDescent="0.25">
      <c r="A48" s="769" t="s">
        <v>101</v>
      </c>
      <c r="B48" s="468" t="str">
        <f>'ADU-14'!$B$7</f>
        <v>Logement</v>
      </c>
      <c r="C48" s="468" t="str">
        <f>'ADU-14'!$B$8</f>
        <v>Chaudières à condensation</v>
      </c>
      <c r="D48" s="468" t="str">
        <f>'ADU-14'!$C$4</f>
        <v>Logement</v>
      </c>
      <c r="E48" s="468" t="str">
        <f>'ADU-14'!$B$11</f>
        <v>Citoyen</v>
      </c>
      <c r="F48" s="468" t="str">
        <f>'ADU-14'!$B$5</f>
        <v>Fonds propres</v>
      </c>
      <c r="G48" s="469">
        <f>'ADU-14'!$B$16</f>
        <v>500000</v>
      </c>
      <c r="H48" s="468" t="str">
        <f>'ADU-14'!$B$6</f>
        <v>Pas de subside</v>
      </c>
      <c r="I48" s="469">
        <f>'ADU-14'!$B$17</f>
        <v>0</v>
      </c>
      <c r="J48" s="469">
        <f>'ADU-14'!$B$20</f>
        <v>12797.612998522896</v>
      </c>
      <c r="K48" s="469">
        <f>'ADU-14'!$B$21</f>
        <v>0</v>
      </c>
      <c r="L48" s="470">
        <f>'ADU-14'!$B$23</f>
        <v>39.069785909115247</v>
      </c>
      <c r="M48" s="471">
        <f>'ADU-14'!$B$24</f>
        <v>38.83926735598228</v>
      </c>
      <c r="N48" s="472">
        <f t="shared" si="0"/>
        <v>7.7678534711964564E-2</v>
      </c>
      <c r="O48" s="473" t="str">
        <f>'ADU-14'!$E$5</f>
        <v>En cours</v>
      </c>
      <c r="P48" s="474">
        <f>'ADU-14'!$B$15</f>
        <v>2020</v>
      </c>
      <c r="Q48" s="539" t="str">
        <f t="shared" si="50"/>
        <v/>
      </c>
      <c r="R48" s="475">
        <f t="shared" si="106"/>
        <v>0</v>
      </c>
      <c r="S48" s="475">
        <f t="shared" si="107"/>
        <v>0</v>
      </c>
      <c r="T48" s="475">
        <f t="shared" si="108"/>
        <v>0</v>
      </c>
      <c r="U48" s="475">
        <f t="shared" si="109"/>
        <v>0</v>
      </c>
      <c r="V48" s="475">
        <f t="shared" si="110"/>
        <v>0</v>
      </c>
      <c r="W48" s="475">
        <f t="shared" si="111"/>
        <v>0</v>
      </c>
      <c r="X48" s="475">
        <f t="shared" si="112"/>
        <v>0</v>
      </c>
      <c r="Z48" s="478">
        <f t="shared" si="113"/>
        <v>0</v>
      </c>
      <c r="AA48" s="478">
        <f t="shared" si="114"/>
        <v>0</v>
      </c>
      <c r="AB48" s="478">
        <f t="shared" si="115"/>
        <v>0</v>
      </c>
      <c r="AC48" s="478">
        <f t="shared" si="116"/>
        <v>0</v>
      </c>
      <c r="AD48" s="478">
        <f t="shared" si="117"/>
        <v>0</v>
      </c>
      <c r="AE48" s="478">
        <f t="shared" si="118"/>
        <v>0</v>
      </c>
      <c r="AF48" s="478">
        <f t="shared" si="119"/>
        <v>0</v>
      </c>
      <c r="AH48" s="478">
        <f t="shared" si="120"/>
        <v>0</v>
      </c>
      <c r="AI48" s="478">
        <f t="shared" si="121"/>
        <v>0</v>
      </c>
      <c r="AJ48" s="478">
        <f t="shared" si="122"/>
        <v>0</v>
      </c>
      <c r="AK48" s="478">
        <f t="shared" si="123"/>
        <v>0</v>
      </c>
      <c r="AL48" s="478">
        <f t="shared" si="124"/>
        <v>0</v>
      </c>
      <c r="AM48" s="478">
        <f t="shared" si="125"/>
        <v>0</v>
      </c>
      <c r="AN48" s="478">
        <f t="shared" si="126"/>
        <v>0</v>
      </c>
      <c r="AP48" s="478">
        <f t="shared" si="127"/>
        <v>0</v>
      </c>
      <c r="AQ48" s="478">
        <f t="shared" si="128"/>
        <v>0</v>
      </c>
      <c r="AR48" s="478">
        <f t="shared" si="129"/>
        <v>0</v>
      </c>
      <c r="AS48" s="478">
        <f t="shared" si="130"/>
        <v>0</v>
      </c>
      <c r="AT48" s="478">
        <f t="shared" si="131"/>
        <v>0</v>
      </c>
      <c r="AU48" s="478">
        <f t="shared" si="132"/>
        <v>0</v>
      </c>
      <c r="AV48" s="478">
        <f t="shared" si="133"/>
        <v>0</v>
      </c>
      <c r="AX48" s="478">
        <f t="shared" si="134"/>
        <v>0</v>
      </c>
      <c r="AY48" s="478">
        <f t="shared" si="135"/>
        <v>0</v>
      </c>
      <c r="AZ48" s="478">
        <f t="shared" si="136"/>
        <v>0</v>
      </c>
      <c r="BA48" s="478">
        <f t="shared" si="137"/>
        <v>0</v>
      </c>
      <c r="BB48" s="478">
        <f t="shared" si="138"/>
        <v>0</v>
      </c>
      <c r="BC48" s="478">
        <f t="shared" si="139"/>
        <v>0</v>
      </c>
      <c r="BD48" s="478">
        <f t="shared" si="140"/>
        <v>0</v>
      </c>
      <c r="BF48" s="478">
        <f t="shared" si="141"/>
        <v>0</v>
      </c>
      <c r="BG48" s="478">
        <f t="shared" si="142"/>
        <v>0</v>
      </c>
      <c r="BH48" s="478">
        <f t="shared" si="143"/>
        <v>0</v>
      </c>
      <c r="BI48" s="478">
        <f t="shared" si="144"/>
        <v>0</v>
      </c>
      <c r="BJ48" s="478">
        <f t="shared" si="145"/>
        <v>0</v>
      </c>
      <c r="BK48" s="478">
        <f t="shared" si="146"/>
        <v>0</v>
      </c>
      <c r="BM48" s="478">
        <f t="shared" si="147"/>
        <v>0</v>
      </c>
      <c r="BN48" s="478">
        <f t="shared" si="148"/>
        <v>0</v>
      </c>
      <c r="BO48" s="478">
        <f t="shared" si="149"/>
        <v>0</v>
      </c>
      <c r="BP48" s="478">
        <f t="shared" si="150"/>
        <v>0</v>
      </c>
      <c r="BQ48" s="478">
        <f t="shared" si="151"/>
        <v>0</v>
      </c>
      <c r="BR48" s="478">
        <f t="shared" si="152"/>
        <v>0</v>
      </c>
      <c r="BT48" s="475">
        <f t="shared" si="153"/>
        <v>0</v>
      </c>
      <c r="BU48" s="475">
        <f t="shared" si="154"/>
        <v>0</v>
      </c>
    </row>
    <row r="49" spans="1:73" s="477" customFormat="1" x14ac:dyDescent="0.25">
      <c r="A49" s="769" t="s">
        <v>104</v>
      </c>
      <c r="B49" s="468" t="str">
        <f>'ADU-15'!$B$7</f>
        <v>Logement</v>
      </c>
      <c r="C49" s="468" t="str">
        <f>'ADU-15'!$B$8</f>
        <v>Changement de vecteur énergétique pour le chauffage</v>
      </c>
      <c r="D49" s="468" t="str">
        <f>'ADU-15'!$C$4</f>
        <v>Logement</v>
      </c>
      <c r="E49" s="468" t="str">
        <f>'ADU-15'!$B$11</f>
        <v>Citoyen</v>
      </c>
      <c r="F49" s="468" t="str">
        <f>'ADU-15'!$B$5</f>
        <v>ECOPACK</v>
      </c>
      <c r="G49" s="469">
        <f>'ADU-15'!$B$16</f>
        <v>750000</v>
      </c>
      <c r="H49" s="468" t="str">
        <f>'ADU-15'!$B$6</f>
        <v>Prime RW</v>
      </c>
      <c r="I49" s="469">
        <f>'ADU-15'!$B$17</f>
        <v>40000</v>
      </c>
      <c r="J49" s="469">
        <f>'ADU-15'!$B$20</f>
        <v>63988.064992614476</v>
      </c>
      <c r="K49" s="469">
        <f>'ADU-15'!$B$21</f>
        <v>0</v>
      </c>
      <c r="L49" s="470">
        <f>'ADU-15'!$B$23</f>
        <v>11.095819198188732</v>
      </c>
      <c r="M49" s="471">
        <f>'ADU-15'!$B$24</f>
        <v>194.19633677991138</v>
      </c>
      <c r="N49" s="472">
        <f t="shared" si="0"/>
        <v>0.27351596729564981</v>
      </c>
      <c r="O49" s="473" t="str">
        <f>'ADU-15'!$E$5</f>
        <v>En cours</v>
      </c>
      <c r="P49" s="474">
        <f>'ADU-15'!$B$15</f>
        <v>2020</v>
      </c>
      <c r="Q49" s="539" t="str">
        <f t="shared" si="50"/>
        <v/>
      </c>
      <c r="R49" s="475">
        <f t="shared" si="106"/>
        <v>0</v>
      </c>
      <c r="S49" s="475">
        <f t="shared" si="107"/>
        <v>0</v>
      </c>
      <c r="T49" s="475">
        <f t="shared" si="108"/>
        <v>0</v>
      </c>
      <c r="U49" s="476">
        <f t="shared" si="109"/>
        <v>0</v>
      </c>
      <c r="V49" s="475">
        <f t="shared" si="110"/>
        <v>0</v>
      </c>
      <c r="W49" s="475">
        <f t="shared" si="111"/>
        <v>0</v>
      </c>
      <c r="X49" s="475">
        <f t="shared" si="112"/>
        <v>0</v>
      </c>
      <c r="Z49" s="478">
        <f t="shared" si="113"/>
        <v>0</v>
      </c>
      <c r="AA49" s="478">
        <f t="shared" si="114"/>
        <v>0</v>
      </c>
      <c r="AB49" s="478">
        <f t="shared" si="115"/>
        <v>0</v>
      </c>
      <c r="AC49" s="478">
        <f t="shared" si="116"/>
        <v>0</v>
      </c>
      <c r="AD49" s="478">
        <f t="shared" si="117"/>
        <v>0</v>
      </c>
      <c r="AE49" s="478">
        <f t="shared" si="118"/>
        <v>0</v>
      </c>
      <c r="AF49" s="478">
        <f t="shared" si="119"/>
        <v>0</v>
      </c>
      <c r="AH49" s="478">
        <f t="shared" si="120"/>
        <v>0</v>
      </c>
      <c r="AI49" s="478">
        <f t="shared" si="121"/>
        <v>0</v>
      </c>
      <c r="AJ49" s="478">
        <f t="shared" si="122"/>
        <v>0</v>
      </c>
      <c r="AK49" s="478">
        <f t="shared" si="123"/>
        <v>0</v>
      </c>
      <c r="AL49" s="478">
        <f t="shared" si="124"/>
        <v>0</v>
      </c>
      <c r="AM49" s="478">
        <f t="shared" si="125"/>
        <v>0</v>
      </c>
      <c r="AN49" s="478">
        <f t="shared" si="126"/>
        <v>0</v>
      </c>
      <c r="AP49" s="478">
        <f t="shared" si="127"/>
        <v>0</v>
      </c>
      <c r="AQ49" s="478">
        <f t="shared" si="128"/>
        <v>0</v>
      </c>
      <c r="AR49" s="478">
        <f t="shared" si="129"/>
        <v>0</v>
      </c>
      <c r="AS49" s="478">
        <f t="shared" si="130"/>
        <v>0</v>
      </c>
      <c r="AT49" s="478">
        <f t="shared" si="131"/>
        <v>0</v>
      </c>
      <c r="AU49" s="478">
        <f t="shared" si="132"/>
        <v>0</v>
      </c>
      <c r="AV49" s="478">
        <f t="shared" si="133"/>
        <v>0</v>
      </c>
      <c r="AX49" s="478">
        <f t="shared" si="134"/>
        <v>0</v>
      </c>
      <c r="AY49" s="478">
        <f t="shared" si="135"/>
        <v>0</v>
      </c>
      <c r="AZ49" s="478">
        <f t="shared" si="136"/>
        <v>0</v>
      </c>
      <c r="BA49" s="478">
        <f t="shared" si="137"/>
        <v>0</v>
      </c>
      <c r="BB49" s="478">
        <f t="shared" si="138"/>
        <v>0</v>
      </c>
      <c r="BC49" s="478">
        <f t="shared" si="139"/>
        <v>0</v>
      </c>
      <c r="BD49" s="478">
        <f t="shared" si="140"/>
        <v>0</v>
      </c>
      <c r="BF49" s="478">
        <f t="shared" si="141"/>
        <v>0</v>
      </c>
      <c r="BG49" s="478">
        <f t="shared" si="142"/>
        <v>0</v>
      </c>
      <c r="BH49" s="478">
        <f t="shared" si="143"/>
        <v>0</v>
      </c>
      <c r="BI49" s="478">
        <f t="shared" si="144"/>
        <v>0</v>
      </c>
      <c r="BJ49" s="478">
        <f t="shared" si="145"/>
        <v>0</v>
      </c>
      <c r="BK49" s="478">
        <f t="shared" si="146"/>
        <v>0</v>
      </c>
      <c r="BM49" s="478">
        <f t="shared" si="147"/>
        <v>0</v>
      </c>
      <c r="BN49" s="478">
        <f t="shared" si="148"/>
        <v>0</v>
      </c>
      <c r="BO49" s="478">
        <f t="shared" si="149"/>
        <v>0</v>
      </c>
      <c r="BP49" s="478">
        <f t="shared" si="150"/>
        <v>0</v>
      </c>
      <c r="BQ49" s="478">
        <f t="shared" si="151"/>
        <v>0</v>
      </c>
      <c r="BR49" s="478">
        <f t="shared" si="152"/>
        <v>0</v>
      </c>
      <c r="BT49" s="475">
        <f t="shared" si="153"/>
        <v>0</v>
      </c>
      <c r="BU49" s="475">
        <f t="shared" si="154"/>
        <v>0</v>
      </c>
    </row>
    <row r="50" spans="1:73" s="503" customFormat="1" x14ac:dyDescent="0.25">
      <c r="A50" s="770" t="s">
        <v>106</v>
      </c>
      <c r="B50" s="494" t="str">
        <f>'ADU-16'!$B$7</f>
        <v>Logement</v>
      </c>
      <c r="C50" s="494" t="str">
        <f>'ADU-16'!$B$8</f>
        <v>Installations photovoltaïques</v>
      </c>
      <c r="D50" s="494" t="str">
        <f>'ADU-16'!$C$4</f>
        <v>Logement</v>
      </c>
      <c r="E50" s="494" t="str">
        <f>'ADU-16'!$B$11</f>
        <v>Citoyen</v>
      </c>
      <c r="F50" s="494" t="str">
        <f>'ADU-16'!$B$5</f>
        <v>Prêt bancaire</v>
      </c>
      <c r="G50" s="495">
        <f>'ADU-16'!$B$16</f>
        <v>819835.80000000016</v>
      </c>
      <c r="H50" s="494" t="str">
        <f>'ADU-16'!$B$6</f>
        <v>Prime RW</v>
      </c>
      <c r="I50" s="495">
        <f>'ADU-16'!$B$17</f>
        <v>529925.80000000016</v>
      </c>
      <c r="J50" s="495">
        <f>'ADU-16'!$B$20</f>
        <v>36252</v>
      </c>
      <c r="K50" s="495">
        <f>'ADU-16'!$B$21</f>
        <v>0</v>
      </c>
      <c r="L50" s="496">
        <f>'ADU-16'!$B$23</f>
        <v>7.9970760233918128</v>
      </c>
      <c r="M50" s="497">
        <f>'ADU-16'!$B$24</f>
        <v>88.213200000000001</v>
      </c>
      <c r="N50" s="498">
        <f t="shared" si="0"/>
        <v>0.30427787934186473</v>
      </c>
      <c r="O50" s="499" t="str">
        <f>'ADU-16'!$E$5</f>
        <v>Terminé</v>
      </c>
      <c r="P50" s="500">
        <f>'ADU-16'!$B$15</f>
        <v>2020</v>
      </c>
      <c r="Q50" s="530">
        <f t="shared" si="50"/>
        <v>88.213200000000001</v>
      </c>
      <c r="R50" s="501">
        <f t="shared" si="106"/>
        <v>0</v>
      </c>
      <c r="S50" s="501">
        <f t="shared" si="107"/>
        <v>0</v>
      </c>
      <c r="T50" s="501">
        <f t="shared" si="108"/>
        <v>0</v>
      </c>
      <c r="U50" s="502">
        <f t="shared" si="109"/>
        <v>88.213200000000001</v>
      </c>
      <c r="V50" s="501">
        <f t="shared" si="110"/>
        <v>0</v>
      </c>
      <c r="W50" s="501">
        <f t="shared" si="111"/>
        <v>0</v>
      </c>
      <c r="X50" s="501">
        <f t="shared" si="112"/>
        <v>0</v>
      </c>
      <c r="Z50" s="504">
        <f t="shared" si="113"/>
        <v>0</v>
      </c>
      <c r="AA50" s="504">
        <f t="shared" si="114"/>
        <v>0</v>
      </c>
      <c r="AB50" s="504">
        <f t="shared" si="115"/>
        <v>0</v>
      </c>
      <c r="AC50" s="504">
        <f t="shared" si="116"/>
        <v>819835.80000000016</v>
      </c>
      <c r="AD50" s="504">
        <f t="shared" si="117"/>
        <v>0</v>
      </c>
      <c r="AE50" s="504">
        <f t="shared" si="118"/>
        <v>0</v>
      </c>
      <c r="AF50" s="504">
        <f t="shared" si="119"/>
        <v>0</v>
      </c>
      <c r="AH50" s="504">
        <f t="shared" si="120"/>
        <v>0</v>
      </c>
      <c r="AI50" s="504">
        <f t="shared" si="121"/>
        <v>0</v>
      </c>
      <c r="AJ50" s="504">
        <f t="shared" si="122"/>
        <v>0</v>
      </c>
      <c r="AK50" s="504">
        <f t="shared" si="123"/>
        <v>529925.80000000016</v>
      </c>
      <c r="AL50" s="504">
        <f t="shared" si="124"/>
        <v>0</v>
      </c>
      <c r="AM50" s="504">
        <f t="shared" si="125"/>
        <v>0</v>
      </c>
      <c r="AN50" s="504">
        <f t="shared" si="126"/>
        <v>0</v>
      </c>
      <c r="AP50" s="504">
        <f t="shared" si="127"/>
        <v>0</v>
      </c>
      <c r="AQ50" s="504">
        <f t="shared" si="128"/>
        <v>0</v>
      </c>
      <c r="AR50" s="504">
        <f t="shared" si="129"/>
        <v>0</v>
      </c>
      <c r="AS50" s="504">
        <f t="shared" si="130"/>
        <v>36252</v>
      </c>
      <c r="AT50" s="504">
        <f t="shared" si="131"/>
        <v>0</v>
      </c>
      <c r="AU50" s="504">
        <f t="shared" si="132"/>
        <v>0</v>
      </c>
      <c r="AV50" s="504">
        <f t="shared" si="133"/>
        <v>0</v>
      </c>
      <c r="AX50" s="504">
        <f t="shared" si="134"/>
        <v>0</v>
      </c>
      <c r="AY50" s="504">
        <f t="shared" si="135"/>
        <v>0</v>
      </c>
      <c r="AZ50" s="504">
        <f t="shared" si="136"/>
        <v>0</v>
      </c>
      <c r="BA50" s="504">
        <f t="shared" si="137"/>
        <v>0</v>
      </c>
      <c r="BB50" s="504">
        <f t="shared" si="138"/>
        <v>0</v>
      </c>
      <c r="BC50" s="504">
        <f t="shared" si="139"/>
        <v>0</v>
      </c>
      <c r="BD50" s="504">
        <f t="shared" si="140"/>
        <v>0</v>
      </c>
      <c r="BF50" s="504">
        <f t="shared" si="141"/>
        <v>0</v>
      </c>
      <c r="BG50" s="504">
        <f t="shared" si="142"/>
        <v>0</v>
      </c>
      <c r="BH50" s="504">
        <f t="shared" si="143"/>
        <v>819835.80000000016</v>
      </c>
      <c r="BI50" s="504">
        <f t="shared" si="144"/>
        <v>0</v>
      </c>
      <c r="BJ50" s="504">
        <f t="shared" si="145"/>
        <v>0</v>
      </c>
      <c r="BK50" s="504">
        <f t="shared" si="146"/>
        <v>0</v>
      </c>
      <c r="BM50" s="504">
        <f t="shared" si="147"/>
        <v>0</v>
      </c>
      <c r="BN50" s="504">
        <f t="shared" si="148"/>
        <v>0</v>
      </c>
      <c r="BO50" s="504">
        <f t="shared" si="149"/>
        <v>529925.80000000016</v>
      </c>
      <c r="BP50" s="504">
        <f t="shared" si="150"/>
        <v>0</v>
      </c>
      <c r="BQ50" s="504">
        <f t="shared" si="151"/>
        <v>0</v>
      </c>
      <c r="BR50" s="504">
        <f t="shared" si="152"/>
        <v>0</v>
      </c>
      <c r="BT50" s="501">
        <f t="shared" si="153"/>
        <v>88.213200000000001</v>
      </c>
      <c r="BU50" s="501">
        <f t="shared" si="154"/>
        <v>0</v>
      </c>
    </row>
    <row r="51" spans="1:73" s="503" customFormat="1" x14ac:dyDescent="0.25">
      <c r="A51" s="770" t="s">
        <v>109</v>
      </c>
      <c r="B51" s="494" t="str">
        <f>'ADU-17'!$B$7</f>
        <v>bâtiments communaux</v>
      </c>
      <c r="C51" s="494" t="str">
        <f>'ADU-17'!$B$8</f>
        <v>Installations photovoltaïques pour les bâtiments communaux</v>
      </c>
      <c r="D51" s="494" t="str">
        <f>'ADU-17'!$C$4</f>
        <v>Communal</v>
      </c>
      <c r="E51" s="494" t="str">
        <f>'ADU-17'!$B$11</f>
        <v>AC HABAY</v>
      </c>
      <c r="F51" s="494" t="str">
        <f>'ADU-17'!$B$5</f>
        <v>Prêt bancaire</v>
      </c>
      <c r="G51" s="599">
        <f>'ADU-17'!$B$16</f>
        <v>257810.00000000003</v>
      </c>
      <c r="H51" s="494" t="str">
        <f>'ADU-17'!$B$6</f>
        <v>Prime RW</v>
      </c>
      <c r="I51" s="495">
        <f>'ADU-17'!$B$17</f>
        <v>166643.33333333337</v>
      </c>
      <c r="J51" s="495">
        <f>'ADU-17'!$B$20</f>
        <v>11400</v>
      </c>
      <c r="K51" s="495">
        <f>'ADU-17'!$B$21</f>
        <v>0</v>
      </c>
      <c r="L51" s="496">
        <f>'ADU-17'!$B$23</f>
        <v>7.9970760233918119</v>
      </c>
      <c r="M51" s="497">
        <f>'ADU-17'!$B$24</f>
        <v>27.74</v>
      </c>
      <c r="N51" s="498">
        <f t="shared" si="0"/>
        <v>0.30427787934186473</v>
      </c>
      <c r="O51" s="499" t="str">
        <f>'ADU-17'!$E$5</f>
        <v>A faire</v>
      </c>
      <c r="P51" s="500">
        <f>'ADU-17'!$B$15</f>
        <v>2020</v>
      </c>
      <c r="Q51" s="530" t="str">
        <f t="shared" si="50"/>
        <v/>
      </c>
      <c r="R51" s="501">
        <f t="shared" si="106"/>
        <v>0</v>
      </c>
      <c r="S51" s="501">
        <f t="shared" si="107"/>
        <v>0</v>
      </c>
      <c r="T51" s="501">
        <f t="shared" si="108"/>
        <v>0</v>
      </c>
      <c r="U51" s="501">
        <f t="shared" si="109"/>
        <v>0</v>
      </c>
      <c r="V51" s="501">
        <f t="shared" si="110"/>
        <v>0</v>
      </c>
      <c r="W51" s="501">
        <f t="shared" si="111"/>
        <v>0</v>
      </c>
      <c r="X51" s="502">
        <f t="shared" si="112"/>
        <v>0</v>
      </c>
      <c r="Z51" s="504">
        <f t="shared" si="113"/>
        <v>0</v>
      </c>
      <c r="AA51" s="504">
        <f t="shared" si="114"/>
        <v>0</v>
      </c>
      <c r="AB51" s="504">
        <f t="shared" si="115"/>
        <v>0</v>
      </c>
      <c r="AC51" s="504">
        <f t="shared" si="116"/>
        <v>0</v>
      </c>
      <c r="AD51" s="504">
        <f t="shared" si="117"/>
        <v>0</v>
      </c>
      <c r="AE51" s="504">
        <f t="shared" si="118"/>
        <v>0</v>
      </c>
      <c r="AF51" s="504">
        <f t="shared" si="119"/>
        <v>0</v>
      </c>
      <c r="AH51" s="504">
        <f t="shared" si="120"/>
        <v>0</v>
      </c>
      <c r="AI51" s="504">
        <f t="shared" si="121"/>
        <v>0</v>
      </c>
      <c r="AJ51" s="504">
        <f t="shared" si="122"/>
        <v>0</v>
      </c>
      <c r="AK51" s="504">
        <f t="shared" si="123"/>
        <v>0</v>
      </c>
      <c r="AL51" s="504">
        <f t="shared" si="124"/>
        <v>0</v>
      </c>
      <c r="AM51" s="504">
        <f t="shared" si="125"/>
        <v>0</v>
      </c>
      <c r="AN51" s="504">
        <f t="shared" si="126"/>
        <v>0</v>
      </c>
      <c r="AP51" s="504">
        <f t="shared" si="127"/>
        <v>0</v>
      </c>
      <c r="AQ51" s="504">
        <f t="shared" si="128"/>
        <v>0</v>
      </c>
      <c r="AR51" s="504">
        <f t="shared" si="129"/>
        <v>0</v>
      </c>
      <c r="AS51" s="504">
        <f t="shared" si="130"/>
        <v>0</v>
      </c>
      <c r="AT51" s="504">
        <f t="shared" si="131"/>
        <v>0</v>
      </c>
      <c r="AU51" s="504">
        <f t="shared" si="132"/>
        <v>0</v>
      </c>
      <c r="AV51" s="504">
        <f t="shared" si="133"/>
        <v>0</v>
      </c>
      <c r="AX51" s="504">
        <f t="shared" si="134"/>
        <v>0</v>
      </c>
      <c r="AY51" s="504">
        <f t="shared" si="135"/>
        <v>0</v>
      </c>
      <c r="AZ51" s="504">
        <f t="shared" si="136"/>
        <v>0</v>
      </c>
      <c r="BA51" s="504">
        <f t="shared" si="137"/>
        <v>0</v>
      </c>
      <c r="BB51" s="504">
        <f t="shared" si="138"/>
        <v>0</v>
      </c>
      <c r="BC51" s="504">
        <f t="shared" si="139"/>
        <v>0</v>
      </c>
      <c r="BD51" s="504">
        <f t="shared" si="140"/>
        <v>0</v>
      </c>
      <c r="BF51" s="504">
        <f t="shared" si="141"/>
        <v>0</v>
      </c>
      <c r="BG51" s="504">
        <f t="shared" si="142"/>
        <v>0</v>
      </c>
      <c r="BH51" s="504">
        <f t="shared" si="143"/>
        <v>0</v>
      </c>
      <c r="BI51" s="504">
        <f t="shared" si="144"/>
        <v>0</v>
      </c>
      <c r="BJ51" s="504">
        <f t="shared" si="145"/>
        <v>0</v>
      </c>
      <c r="BK51" s="504">
        <f t="shared" si="146"/>
        <v>0</v>
      </c>
      <c r="BM51" s="504">
        <f t="shared" si="147"/>
        <v>0</v>
      </c>
      <c r="BN51" s="504">
        <f t="shared" si="148"/>
        <v>0</v>
      </c>
      <c r="BO51" s="504">
        <f t="shared" si="149"/>
        <v>0</v>
      </c>
      <c r="BP51" s="504">
        <f t="shared" si="150"/>
        <v>0</v>
      </c>
      <c r="BQ51" s="504">
        <f t="shared" si="151"/>
        <v>0</v>
      </c>
      <c r="BR51" s="504">
        <f t="shared" si="152"/>
        <v>0</v>
      </c>
      <c r="BT51" s="501">
        <f t="shared" si="153"/>
        <v>0</v>
      </c>
      <c r="BU51" s="501">
        <f t="shared" si="154"/>
        <v>27.74</v>
      </c>
    </row>
    <row r="52" spans="1:73" s="503" customFormat="1" x14ac:dyDescent="0.25">
      <c r="A52" s="770" t="s">
        <v>114</v>
      </c>
      <c r="B52" s="494" t="str">
        <f>'ADU-18'!$B$7</f>
        <v>bâtiments industriels</v>
      </c>
      <c r="C52" s="494" t="str">
        <f>'ADU-18'!$B$8</f>
        <v>Installations photovoltaïques pour les bâtiments industriels</v>
      </c>
      <c r="D52" s="494" t="str">
        <f>'ADU-18'!$C$4</f>
        <v>Industrie</v>
      </c>
      <c r="E52" s="494" t="str">
        <f>'ADU-18'!$B$11</f>
        <v>Industrie</v>
      </c>
      <c r="F52" s="494" t="str">
        <f>'ADU-18'!$B$5</f>
        <v>Prêt bancaire</v>
      </c>
      <c r="G52" s="495">
        <f>'ADU-18'!$B$16</f>
        <v>2764850</v>
      </c>
      <c r="H52" s="494" t="str">
        <f>'ADU-18'!$B$6</f>
        <v>CV</v>
      </c>
      <c r="I52" s="495">
        <f>'ADU-18'!$B$17</f>
        <v>0</v>
      </c>
      <c r="J52" s="495">
        <f>'ADU-18'!$B$20</f>
        <v>127500</v>
      </c>
      <c r="K52" s="495">
        <f>'ADU-18'!$B$21</f>
        <v>132600</v>
      </c>
      <c r="L52" s="496">
        <f>'ADU-18'!$B$23</f>
        <v>10.629950019223376</v>
      </c>
      <c r="M52" s="497">
        <f>'ADU-18'!$B$24</f>
        <v>310.25</v>
      </c>
      <c r="N52" s="498">
        <f t="shared" si="0"/>
        <v>0.11221223574515796</v>
      </c>
      <c r="O52" s="499" t="str">
        <f>'ADU-18'!$E$5</f>
        <v>A faire</v>
      </c>
      <c r="P52" s="500">
        <f>'ADU-18'!$B$15</f>
        <v>2020</v>
      </c>
      <c r="Q52" s="530" t="str">
        <f t="shared" si="50"/>
        <v/>
      </c>
      <c r="R52" s="501">
        <f t="shared" si="106"/>
        <v>0</v>
      </c>
      <c r="S52" s="501">
        <f t="shared" si="107"/>
        <v>0</v>
      </c>
      <c r="T52" s="502">
        <f t="shared" si="108"/>
        <v>0</v>
      </c>
      <c r="U52" s="501">
        <f t="shared" si="109"/>
        <v>0</v>
      </c>
      <c r="V52" s="501">
        <f t="shared" si="110"/>
        <v>0</v>
      </c>
      <c r="W52" s="501">
        <f t="shared" si="111"/>
        <v>0</v>
      </c>
      <c r="X52" s="501">
        <f t="shared" si="112"/>
        <v>0</v>
      </c>
      <c r="Z52" s="504">
        <f t="shared" si="113"/>
        <v>0</v>
      </c>
      <c r="AA52" s="504">
        <f t="shared" si="114"/>
        <v>0</v>
      </c>
      <c r="AB52" s="504">
        <f t="shared" si="115"/>
        <v>0</v>
      </c>
      <c r="AC52" s="504">
        <f t="shared" si="116"/>
        <v>0</v>
      </c>
      <c r="AD52" s="504">
        <f t="shared" si="117"/>
        <v>0</v>
      </c>
      <c r="AE52" s="504">
        <f t="shared" si="118"/>
        <v>0</v>
      </c>
      <c r="AF52" s="504">
        <f t="shared" si="119"/>
        <v>0</v>
      </c>
      <c r="AH52" s="504">
        <f t="shared" si="120"/>
        <v>0</v>
      </c>
      <c r="AI52" s="504">
        <f t="shared" si="121"/>
        <v>0</v>
      </c>
      <c r="AJ52" s="504">
        <f t="shared" si="122"/>
        <v>0</v>
      </c>
      <c r="AK52" s="504">
        <f t="shared" si="123"/>
        <v>0</v>
      </c>
      <c r="AL52" s="504">
        <f t="shared" si="124"/>
        <v>0</v>
      </c>
      <c r="AM52" s="504">
        <f t="shared" si="125"/>
        <v>0</v>
      </c>
      <c r="AN52" s="504">
        <f t="shared" si="126"/>
        <v>0</v>
      </c>
      <c r="AP52" s="504">
        <f t="shared" si="127"/>
        <v>0</v>
      </c>
      <c r="AQ52" s="504">
        <f t="shared" si="128"/>
        <v>0</v>
      </c>
      <c r="AR52" s="504">
        <f t="shared" si="129"/>
        <v>0</v>
      </c>
      <c r="AS52" s="504">
        <f t="shared" si="130"/>
        <v>0</v>
      </c>
      <c r="AT52" s="504">
        <f t="shared" si="131"/>
        <v>0</v>
      </c>
      <c r="AU52" s="504">
        <f t="shared" si="132"/>
        <v>0</v>
      </c>
      <c r="AV52" s="504">
        <f t="shared" si="133"/>
        <v>0</v>
      </c>
      <c r="AX52" s="504">
        <f t="shared" si="134"/>
        <v>0</v>
      </c>
      <c r="AY52" s="504">
        <f t="shared" si="135"/>
        <v>0</v>
      </c>
      <c r="AZ52" s="504">
        <f t="shared" si="136"/>
        <v>0</v>
      </c>
      <c r="BA52" s="504">
        <f t="shared" si="137"/>
        <v>0</v>
      </c>
      <c r="BB52" s="504">
        <f t="shared" si="138"/>
        <v>0</v>
      </c>
      <c r="BC52" s="504">
        <f t="shared" si="139"/>
        <v>0</v>
      </c>
      <c r="BD52" s="504">
        <f t="shared" si="140"/>
        <v>0</v>
      </c>
      <c r="BF52" s="504">
        <f t="shared" si="141"/>
        <v>0</v>
      </c>
      <c r="BG52" s="504">
        <f t="shared" si="142"/>
        <v>0</v>
      </c>
      <c r="BH52" s="504">
        <f t="shared" si="143"/>
        <v>0</v>
      </c>
      <c r="BI52" s="504">
        <f t="shared" si="144"/>
        <v>0</v>
      </c>
      <c r="BJ52" s="504">
        <f t="shared" si="145"/>
        <v>0</v>
      </c>
      <c r="BK52" s="504">
        <f t="shared" si="146"/>
        <v>0</v>
      </c>
      <c r="BM52" s="504">
        <f t="shared" si="147"/>
        <v>0</v>
      </c>
      <c r="BN52" s="504">
        <f t="shared" si="148"/>
        <v>0</v>
      </c>
      <c r="BO52" s="504">
        <f t="shared" si="149"/>
        <v>0</v>
      </c>
      <c r="BP52" s="504">
        <f t="shared" si="150"/>
        <v>0</v>
      </c>
      <c r="BQ52" s="504">
        <f t="shared" si="151"/>
        <v>0</v>
      </c>
      <c r="BR52" s="504">
        <f t="shared" si="152"/>
        <v>0</v>
      </c>
      <c r="BT52" s="501">
        <f t="shared" si="153"/>
        <v>0</v>
      </c>
      <c r="BU52" s="501">
        <f t="shared" si="154"/>
        <v>310.25</v>
      </c>
    </row>
    <row r="53" spans="1:73" s="503" customFormat="1" x14ac:dyDescent="0.25">
      <c r="A53" s="770" t="s">
        <v>118</v>
      </c>
      <c r="B53" s="494" t="str">
        <f>'ADU-19'!$B$7</f>
        <v>bâtiments agricoles</v>
      </c>
      <c r="C53" s="494" t="str">
        <f>'ADU-19'!$B$8</f>
        <v>Installations photovoltaïques pour les bâtiments agricoles</v>
      </c>
      <c r="D53" s="494" t="str">
        <f>'ADU-19'!$C$4</f>
        <v>Agriculture</v>
      </c>
      <c r="E53" s="494" t="str">
        <f>'ADU-19'!$B$11</f>
        <v>Agriculture</v>
      </c>
      <c r="F53" s="494" t="str">
        <f>'ADU-19'!$B$5</f>
        <v>1/3 invest</v>
      </c>
      <c r="G53" s="495">
        <f>'ADU-19'!$B$16</f>
        <v>276485</v>
      </c>
      <c r="H53" s="494" t="str">
        <f>'ADU-19'!$B$6</f>
        <v>CV</v>
      </c>
      <c r="I53" s="495">
        <f>'ADU-19'!$B$17</f>
        <v>0</v>
      </c>
      <c r="J53" s="495">
        <f>'ADU-19'!$B$20</f>
        <v>12750</v>
      </c>
      <c r="K53" s="495">
        <f>'ADU-19'!$B$21</f>
        <v>13260</v>
      </c>
      <c r="L53" s="496">
        <f>'ADU-19'!$B$23</f>
        <v>10.629950019223376</v>
      </c>
      <c r="M53" s="497">
        <f>'ADU-19'!$B$24</f>
        <v>31.024999999999999</v>
      </c>
      <c r="N53" s="498">
        <f t="shared" si="0"/>
        <v>0.11221223574515796</v>
      </c>
      <c r="O53" s="499" t="str">
        <f>'ADU-19'!$E$5</f>
        <v>A faire</v>
      </c>
      <c r="P53" s="500">
        <f>'ADU-19'!$B$15</f>
        <v>2020</v>
      </c>
      <c r="Q53" s="530" t="str">
        <f t="shared" si="50"/>
        <v/>
      </c>
      <c r="R53" s="501">
        <f t="shared" si="106"/>
        <v>0</v>
      </c>
      <c r="S53" s="502">
        <f t="shared" si="107"/>
        <v>0</v>
      </c>
      <c r="T53" s="501">
        <f t="shared" si="108"/>
        <v>0</v>
      </c>
      <c r="U53" s="501">
        <f t="shared" si="109"/>
        <v>0</v>
      </c>
      <c r="V53" s="501">
        <f t="shared" si="110"/>
        <v>0</v>
      </c>
      <c r="W53" s="501">
        <f t="shared" si="111"/>
        <v>0</v>
      </c>
      <c r="X53" s="501">
        <f t="shared" si="112"/>
        <v>0</v>
      </c>
      <c r="Z53" s="504">
        <f t="shared" si="113"/>
        <v>0</v>
      </c>
      <c r="AA53" s="504">
        <f t="shared" si="114"/>
        <v>0</v>
      </c>
      <c r="AB53" s="504">
        <f t="shared" si="115"/>
        <v>0</v>
      </c>
      <c r="AC53" s="504">
        <f t="shared" si="116"/>
        <v>0</v>
      </c>
      <c r="AD53" s="504">
        <f t="shared" si="117"/>
        <v>0</v>
      </c>
      <c r="AE53" s="504">
        <f t="shared" si="118"/>
        <v>0</v>
      </c>
      <c r="AF53" s="504">
        <f t="shared" si="119"/>
        <v>0</v>
      </c>
      <c r="AH53" s="504">
        <f t="shared" si="120"/>
        <v>0</v>
      </c>
      <c r="AI53" s="504">
        <f t="shared" si="121"/>
        <v>0</v>
      </c>
      <c r="AJ53" s="504">
        <f t="shared" si="122"/>
        <v>0</v>
      </c>
      <c r="AK53" s="504">
        <f t="shared" si="123"/>
        <v>0</v>
      </c>
      <c r="AL53" s="504">
        <f t="shared" si="124"/>
        <v>0</v>
      </c>
      <c r="AM53" s="504">
        <f t="shared" si="125"/>
        <v>0</v>
      </c>
      <c r="AN53" s="504">
        <f t="shared" si="126"/>
        <v>0</v>
      </c>
      <c r="AP53" s="504">
        <f t="shared" si="127"/>
        <v>0</v>
      </c>
      <c r="AQ53" s="504">
        <f t="shared" si="128"/>
        <v>0</v>
      </c>
      <c r="AR53" s="504">
        <f t="shared" si="129"/>
        <v>0</v>
      </c>
      <c r="AS53" s="504">
        <f t="shared" si="130"/>
        <v>0</v>
      </c>
      <c r="AT53" s="504">
        <f t="shared" si="131"/>
        <v>0</v>
      </c>
      <c r="AU53" s="504">
        <f t="shared" si="132"/>
        <v>0</v>
      </c>
      <c r="AV53" s="504">
        <f t="shared" si="133"/>
        <v>0</v>
      </c>
      <c r="AX53" s="504">
        <f t="shared" si="134"/>
        <v>0</v>
      </c>
      <c r="AY53" s="504">
        <f t="shared" si="135"/>
        <v>0</v>
      </c>
      <c r="AZ53" s="504">
        <f t="shared" si="136"/>
        <v>0</v>
      </c>
      <c r="BA53" s="504">
        <f t="shared" si="137"/>
        <v>0</v>
      </c>
      <c r="BB53" s="504">
        <f t="shared" si="138"/>
        <v>0</v>
      </c>
      <c r="BC53" s="504">
        <f t="shared" si="139"/>
        <v>0</v>
      </c>
      <c r="BD53" s="504">
        <f t="shared" si="140"/>
        <v>0</v>
      </c>
      <c r="BF53" s="504">
        <f t="shared" si="141"/>
        <v>0</v>
      </c>
      <c r="BG53" s="504">
        <f t="shared" si="142"/>
        <v>0</v>
      </c>
      <c r="BH53" s="504">
        <f t="shared" si="143"/>
        <v>0</v>
      </c>
      <c r="BI53" s="504">
        <f t="shared" si="144"/>
        <v>0</v>
      </c>
      <c r="BJ53" s="504">
        <f t="shared" si="145"/>
        <v>0</v>
      </c>
      <c r="BK53" s="504">
        <f t="shared" si="146"/>
        <v>0</v>
      </c>
      <c r="BM53" s="504">
        <f t="shared" si="147"/>
        <v>0</v>
      </c>
      <c r="BN53" s="504">
        <f t="shared" si="148"/>
        <v>0</v>
      </c>
      <c r="BO53" s="504">
        <f t="shared" si="149"/>
        <v>0</v>
      </c>
      <c r="BP53" s="504">
        <f t="shared" si="150"/>
        <v>0</v>
      </c>
      <c r="BQ53" s="504">
        <f t="shared" si="151"/>
        <v>0</v>
      </c>
      <c r="BR53" s="504">
        <f t="shared" si="152"/>
        <v>0</v>
      </c>
      <c r="BT53" s="501">
        <f t="shared" si="153"/>
        <v>0</v>
      </c>
      <c r="BU53" s="501">
        <f t="shared" si="154"/>
        <v>31.024999999999999</v>
      </c>
    </row>
    <row r="54" spans="1:73" s="503" customFormat="1" x14ac:dyDescent="0.25">
      <c r="A54" s="770" t="s">
        <v>121</v>
      </c>
      <c r="B54" s="494" t="str">
        <f>'ADU-20'!$B$7</f>
        <v>bâtiments tertiaires</v>
      </c>
      <c r="C54" s="494" t="str">
        <f>'ADU-20'!$B$8</f>
        <v>Installations photovoltaïques pour les bâtiments tertiaires</v>
      </c>
      <c r="D54" s="494" t="str">
        <f>'ADU-20'!$C$4</f>
        <v>Tertiaire</v>
      </c>
      <c r="E54" s="494" t="str">
        <f>'ADU-20'!$B$11</f>
        <v>Tertiaire</v>
      </c>
      <c r="F54" s="494" t="str">
        <f>'ADU-20'!$B$5</f>
        <v>Prêt bancaire</v>
      </c>
      <c r="G54" s="495">
        <f>'ADU-20'!$B$16</f>
        <v>829455</v>
      </c>
      <c r="H54" s="494" t="str">
        <f>'ADU-20'!$B$6</f>
        <v>Prime RW</v>
      </c>
      <c r="I54" s="495">
        <f>'ADU-20'!$B$17</f>
        <v>0</v>
      </c>
      <c r="J54" s="495">
        <f>'ADU-20'!$B$20</f>
        <v>38250</v>
      </c>
      <c r="K54" s="495">
        <f>'ADU-20'!$B$21</f>
        <v>39780</v>
      </c>
      <c r="L54" s="496">
        <f>'ADU-20'!$B$23</f>
        <v>10.629950019223376</v>
      </c>
      <c r="M54" s="497">
        <f>'ADU-20'!$B$24</f>
        <v>93.075000000000003</v>
      </c>
      <c r="N54" s="498">
        <f t="shared" si="0"/>
        <v>0.11221223574515796</v>
      </c>
      <c r="O54" s="499" t="str">
        <f>'ADU-20'!$E$5</f>
        <v>A faire</v>
      </c>
      <c r="P54" s="500">
        <f>'ADU-20'!$B$15</f>
        <v>2020</v>
      </c>
      <c r="Q54" s="530" t="str">
        <f t="shared" si="50"/>
        <v/>
      </c>
      <c r="R54" s="501">
        <f t="shared" si="106"/>
        <v>0</v>
      </c>
      <c r="S54" s="501">
        <f t="shared" si="107"/>
        <v>0</v>
      </c>
      <c r="T54" s="501">
        <f t="shared" si="108"/>
        <v>0</v>
      </c>
      <c r="U54" s="501">
        <f t="shared" si="109"/>
        <v>0</v>
      </c>
      <c r="V54" s="501">
        <f t="shared" si="110"/>
        <v>0</v>
      </c>
      <c r="W54" s="501">
        <f t="shared" si="111"/>
        <v>0</v>
      </c>
      <c r="X54" s="501">
        <f t="shared" si="112"/>
        <v>0</v>
      </c>
      <c r="Z54" s="504">
        <f t="shared" si="113"/>
        <v>0</v>
      </c>
      <c r="AA54" s="504">
        <f t="shared" si="114"/>
        <v>0</v>
      </c>
      <c r="AB54" s="504">
        <f t="shared" si="115"/>
        <v>0</v>
      </c>
      <c r="AC54" s="504">
        <f t="shared" si="116"/>
        <v>0</v>
      </c>
      <c r="AD54" s="504">
        <f t="shared" si="117"/>
        <v>0</v>
      </c>
      <c r="AE54" s="504">
        <f t="shared" si="118"/>
        <v>0</v>
      </c>
      <c r="AF54" s="504">
        <f t="shared" si="119"/>
        <v>0</v>
      </c>
      <c r="AH54" s="504">
        <f t="shared" si="120"/>
        <v>0</v>
      </c>
      <c r="AI54" s="504">
        <f t="shared" si="121"/>
        <v>0</v>
      </c>
      <c r="AJ54" s="504">
        <f t="shared" si="122"/>
        <v>0</v>
      </c>
      <c r="AK54" s="504">
        <f t="shared" si="123"/>
        <v>0</v>
      </c>
      <c r="AL54" s="504">
        <f t="shared" si="124"/>
        <v>0</v>
      </c>
      <c r="AM54" s="504">
        <f t="shared" si="125"/>
        <v>0</v>
      </c>
      <c r="AN54" s="504">
        <f t="shared" si="126"/>
        <v>0</v>
      </c>
      <c r="AP54" s="504">
        <f t="shared" si="127"/>
        <v>0</v>
      </c>
      <c r="AQ54" s="504">
        <f t="shared" si="128"/>
        <v>0</v>
      </c>
      <c r="AR54" s="504">
        <f t="shared" si="129"/>
        <v>0</v>
      </c>
      <c r="AS54" s="504">
        <f t="shared" si="130"/>
        <v>0</v>
      </c>
      <c r="AT54" s="504">
        <f t="shared" si="131"/>
        <v>0</v>
      </c>
      <c r="AU54" s="504">
        <f t="shared" si="132"/>
        <v>0</v>
      </c>
      <c r="AV54" s="504">
        <f t="shared" si="133"/>
        <v>0</v>
      </c>
      <c r="AX54" s="504">
        <f t="shared" si="134"/>
        <v>0</v>
      </c>
      <c r="AY54" s="504">
        <f t="shared" si="135"/>
        <v>0</v>
      </c>
      <c r="AZ54" s="504">
        <f t="shared" si="136"/>
        <v>0</v>
      </c>
      <c r="BA54" s="504">
        <f t="shared" si="137"/>
        <v>0</v>
      </c>
      <c r="BB54" s="504">
        <f t="shared" si="138"/>
        <v>0</v>
      </c>
      <c r="BC54" s="504">
        <f t="shared" si="139"/>
        <v>0</v>
      </c>
      <c r="BD54" s="504">
        <f t="shared" si="140"/>
        <v>0</v>
      </c>
      <c r="BF54" s="504">
        <f t="shared" si="141"/>
        <v>0</v>
      </c>
      <c r="BG54" s="504">
        <f t="shared" si="142"/>
        <v>0</v>
      </c>
      <c r="BH54" s="504">
        <f t="shared" si="143"/>
        <v>0</v>
      </c>
      <c r="BI54" s="504">
        <f t="shared" si="144"/>
        <v>0</v>
      </c>
      <c r="BJ54" s="504">
        <f t="shared" si="145"/>
        <v>0</v>
      </c>
      <c r="BK54" s="504">
        <f t="shared" si="146"/>
        <v>0</v>
      </c>
      <c r="BM54" s="504">
        <f t="shared" si="147"/>
        <v>0</v>
      </c>
      <c r="BN54" s="504">
        <f t="shared" si="148"/>
        <v>0</v>
      </c>
      <c r="BO54" s="504">
        <f t="shared" si="149"/>
        <v>0</v>
      </c>
      <c r="BP54" s="504">
        <f t="shared" si="150"/>
        <v>0</v>
      </c>
      <c r="BQ54" s="504">
        <f t="shared" si="151"/>
        <v>0</v>
      </c>
      <c r="BR54" s="504">
        <f t="shared" si="152"/>
        <v>0</v>
      </c>
      <c r="BT54" s="501">
        <f t="shared" si="153"/>
        <v>0</v>
      </c>
      <c r="BU54" s="501">
        <f t="shared" si="154"/>
        <v>93.075000000000003</v>
      </c>
    </row>
    <row r="55" spans="1:73" s="503" customFormat="1" x14ac:dyDescent="0.25">
      <c r="A55" s="770" t="s">
        <v>122</v>
      </c>
      <c r="B55" s="494" t="str">
        <f>'ADU-21'!$B$7</f>
        <v>Industrie</v>
      </c>
      <c r="C55" s="494" t="str">
        <f>'ADU-21'!$B$8</f>
        <v>Installation d'une de 1 éoliennes de 10 kW</v>
      </c>
      <c r="D55" s="494" t="str">
        <f>'ADU-21'!$C$4</f>
        <v>Industrie</v>
      </c>
      <c r="E55" s="494" t="str">
        <f>'ADU-21'!$B$11</f>
        <v>Industrie</v>
      </c>
      <c r="F55" s="494" t="str">
        <f>'ADU-21'!$B$5</f>
        <v>1/3 invest</v>
      </c>
      <c r="G55" s="495">
        <f>'ADU-21'!$B$16</f>
        <v>195000</v>
      </c>
      <c r="H55" s="494" t="str">
        <f>'ADU-21'!$B$6</f>
        <v>Subs RW</v>
      </c>
      <c r="I55" s="495">
        <f>'ADU-21'!$B$17</f>
        <v>39000</v>
      </c>
      <c r="J55" s="495">
        <f>'ADU-21'!$B$20</f>
        <v>3559.1880000000001</v>
      </c>
      <c r="K55" s="495">
        <f>'ADU-21'!$B$21</f>
        <v>1360.866</v>
      </c>
      <c r="L55" s="496">
        <f>'ADU-21'!$B$23</f>
        <v>31.70696906985167</v>
      </c>
      <c r="M55" s="497">
        <f>'ADU-21'!$B$24</f>
        <v>7.6417859999999997</v>
      </c>
      <c r="N55" s="498">
        <f t="shared" si="0"/>
        <v>4.898580769230769E-2</v>
      </c>
      <c r="O55" s="499" t="str">
        <f>'ADU-21'!$E$5</f>
        <v>Terminé</v>
      </c>
      <c r="P55" s="500">
        <f>'ADU-21'!$B$15</f>
        <v>2020</v>
      </c>
      <c r="Q55" s="530">
        <f t="shared" si="50"/>
        <v>7.6417859999999997</v>
      </c>
      <c r="R55" s="501">
        <f t="shared" si="106"/>
        <v>0</v>
      </c>
      <c r="S55" s="501">
        <f t="shared" si="107"/>
        <v>0</v>
      </c>
      <c r="T55" s="501">
        <f t="shared" si="108"/>
        <v>7.6417859999999997</v>
      </c>
      <c r="U55" s="501">
        <f t="shared" si="109"/>
        <v>0</v>
      </c>
      <c r="V55" s="501">
        <f t="shared" si="110"/>
        <v>0</v>
      </c>
      <c r="W55" s="501">
        <f t="shared" si="111"/>
        <v>0</v>
      </c>
      <c r="X55" s="501">
        <f t="shared" si="112"/>
        <v>0</v>
      </c>
      <c r="Z55" s="504">
        <f t="shared" si="113"/>
        <v>0</v>
      </c>
      <c r="AA55" s="504">
        <f t="shared" si="114"/>
        <v>0</v>
      </c>
      <c r="AB55" s="504">
        <f t="shared" si="115"/>
        <v>195000</v>
      </c>
      <c r="AC55" s="504">
        <f t="shared" si="116"/>
        <v>0</v>
      </c>
      <c r="AD55" s="504">
        <f t="shared" si="117"/>
        <v>0</v>
      </c>
      <c r="AE55" s="504">
        <f t="shared" si="118"/>
        <v>0</v>
      </c>
      <c r="AF55" s="504">
        <f t="shared" si="119"/>
        <v>0</v>
      </c>
      <c r="AH55" s="504">
        <f t="shared" si="120"/>
        <v>0</v>
      </c>
      <c r="AI55" s="504">
        <f t="shared" si="121"/>
        <v>0</v>
      </c>
      <c r="AJ55" s="504">
        <f t="shared" si="122"/>
        <v>39000</v>
      </c>
      <c r="AK55" s="504">
        <f t="shared" si="123"/>
        <v>0</v>
      </c>
      <c r="AL55" s="504">
        <f t="shared" si="124"/>
        <v>0</v>
      </c>
      <c r="AM55" s="504">
        <f t="shared" si="125"/>
        <v>0</v>
      </c>
      <c r="AN55" s="504">
        <f t="shared" si="126"/>
        <v>0</v>
      </c>
      <c r="AP55" s="504">
        <f t="shared" si="127"/>
        <v>0</v>
      </c>
      <c r="AQ55" s="504">
        <f t="shared" si="128"/>
        <v>0</v>
      </c>
      <c r="AR55" s="504">
        <f t="shared" si="129"/>
        <v>3559.1880000000001</v>
      </c>
      <c r="AS55" s="504">
        <f t="shared" si="130"/>
        <v>0</v>
      </c>
      <c r="AT55" s="504">
        <f t="shared" si="131"/>
        <v>0</v>
      </c>
      <c r="AU55" s="504">
        <f t="shared" si="132"/>
        <v>0</v>
      </c>
      <c r="AV55" s="504">
        <f t="shared" si="133"/>
        <v>0</v>
      </c>
      <c r="AX55" s="504">
        <f t="shared" si="134"/>
        <v>0</v>
      </c>
      <c r="AY55" s="504">
        <f t="shared" si="135"/>
        <v>0</v>
      </c>
      <c r="AZ55" s="504">
        <f t="shared" si="136"/>
        <v>1360.866</v>
      </c>
      <c r="BA55" s="504">
        <f t="shared" si="137"/>
        <v>0</v>
      </c>
      <c r="BB55" s="504">
        <f t="shared" si="138"/>
        <v>0</v>
      </c>
      <c r="BC55" s="504">
        <f t="shared" si="139"/>
        <v>0</v>
      </c>
      <c r="BD55" s="504">
        <f t="shared" si="140"/>
        <v>0</v>
      </c>
      <c r="BF55" s="504">
        <f t="shared" si="141"/>
        <v>0</v>
      </c>
      <c r="BG55" s="504">
        <f t="shared" si="142"/>
        <v>195000</v>
      </c>
      <c r="BH55" s="504">
        <f t="shared" si="143"/>
        <v>0</v>
      </c>
      <c r="BI55" s="504">
        <f t="shared" si="144"/>
        <v>0</v>
      </c>
      <c r="BJ55" s="504">
        <f t="shared" si="145"/>
        <v>0</v>
      </c>
      <c r="BK55" s="504">
        <f t="shared" si="146"/>
        <v>0</v>
      </c>
      <c r="BM55" s="504">
        <f t="shared" si="147"/>
        <v>0</v>
      </c>
      <c r="BN55" s="504">
        <f t="shared" si="148"/>
        <v>39000</v>
      </c>
      <c r="BO55" s="504">
        <f t="shared" si="149"/>
        <v>0</v>
      </c>
      <c r="BP55" s="504">
        <f t="shared" si="150"/>
        <v>0</v>
      </c>
      <c r="BQ55" s="504">
        <f t="shared" si="151"/>
        <v>0</v>
      </c>
      <c r="BR55" s="504">
        <f t="shared" si="152"/>
        <v>0</v>
      </c>
      <c r="BT55" s="501">
        <f t="shared" si="153"/>
        <v>7.6417859999999997</v>
      </c>
      <c r="BU55" s="501">
        <f t="shared" si="154"/>
        <v>0</v>
      </c>
    </row>
    <row r="56" spans="1:73" s="477" customFormat="1" x14ac:dyDescent="0.25">
      <c r="A56" s="769" t="s">
        <v>123</v>
      </c>
      <c r="B56" s="468" t="str">
        <f>'ADU-22'!$B$7</f>
        <v>Solaire thermique</v>
      </c>
      <c r="C56" s="468" t="str">
        <f>'ADU-22'!$B$8</f>
        <v xml:space="preserve">Installation solaires thermiques </v>
      </c>
      <c r="D56" s="468" t="str">
        <f>'ADU-22'!$C$4</f>
        <v>Logement</v>
      </c>
      <c r="E56" s="468" t="str">
        <f>'ADU-22'!$B$11</f>
        <v>Citoyen</v>
      </c>
      <c r="F56" s="468" t="str">
        <f>'ADU-22'!$B$5</f>
        <v>ECOPACK</v>
      </c>
      <c r="G56" s="469">
        <f>'ADU-22'!$B$16</f>
        <v>450000</v>
      </c>
      <c r="H56" s="468" t="str">
        <f>'ADU-22'!$B$6</f>
        <v>Prime RW</v>
      </c>
      <c r="I56" s="469">
        <f>'ADU-22'!$B$17</f>
        <v>200000</v>
      </c>
      <c r="J56" s="469">
        <f>'ADU-22'!$B$20</f>
        <v>22549.200000000001</v>
      </c>
      <c r="K56" s="469">
        <f>'ADU-22'!$B$21</f>
        <v>0</v>
      </c>
      <c r="L56" s="470">
        <f>'ADU-22'!$B$23</f>
        <v>11.086867826796516</v>
      </c>
      <c r="M56" s="471">
        <f>'ADU-22'!$B$24</f>
        <v>68.434200000000004</v>
      </c>
      <c r="N56" s="472">
        <f t="shared" si="0"/>
        <v>0.2737368</v>
      </c>
      <c r="O56" s="473" t="str">
        <f>'ADU-22'!$E$5</f>
        <v>A faire</v>
      </c>
      <c r="P56" s="474">
        <f>'ADU-22'!$B$15</f>
        <v>2020</v>
      </c>
      <c r="Q56" s="539" t="str">
        <f t="shared" si="50"/>
        <v/>
      </c>
      <c r="R56" s="475">
        <f t="shared" si="106"/>
        <v>0</v>
      </c>
      <c r="S56" s="475">
        <f t="shared" si="107"/>
        <v>0</v>
      </c>
      <c r="T56" s="475">
        <f t="shared" si="108"/>
        <v>0</v>
      </c>
      <c r="U56" s="476">
        <f t="shared" si="109"/>
        <v>0</v>
      </c>
      <c r="V56" s="475">
        <f t="shared" si="110"/>
        <v>0</v>
      </c>
      <c r="W56" s="475">
        <f t="shared" si="111"/>
        <v>0</v>
      </c>
      <c r="X56" s="475">
        <f t="shared" si="112"/>
        <v>0</v>
      </c>
      <c r="Z56" s="478">
        <f t="shared" si="113"/>
        <v>0</v>
      </c>
      <c r="AA56" s="478">
        <f t="shared" si="114"/>
        <v>0</v>
      </c>
      <c r="AB56" s="478">
        <f t="shared" si="115"/>
        <v>0</v>
      </c>
      <c r="AC56" s="478">
        <f t="shared" si="116"/>
        <v>0</v>
      </c>
      <c r="AD56" s="478">
        <f t="shared" si="117"/>
        <v>0</v>
      </c>
      <c r="AE56" s="478">
        <f t="shared" si="118"/>
        <v>0</v>
      </c>
      <c r="AF56" s="478">
        <f t="shared" si="119"/>
        <v>0</v>
      </c>
      <c r="AH56" s="478">
        <f t="shared" si="120"/>
        <v>0</v>
      </c>
      <c r="AI56" s="478">
        <f t="shared" si="121"/>
        <v>0</v>
      </c>
      <c r="AJ56" s="478">
        <f t="shared" si="122"/>
        <v>0</v>
      </c>
      <c r="AK56" s="478">
        <f t="shared" si="123"/>
        <v>0</v>
      </c>
      <c r="AL56" s="478">
        <f t="shared" si="124"/>
        <v>0</v>
      </c>
      <c r="AM56" s="478">
        <f t="shared" si="125"/>
        <v>0</v>
      </c>
      <c r="AN56" s="478">
        <f t="shared" si="126"/>
        <v>0</v>
      </c>
      <c r="AP56" s="478">
        <f t="shared" si="127"/>
        <v>0</v>
      </c>
      <c r="AQ56" s="478">
        <f t="shared" si="128"/>
        <v>0</v>
      </c>
      <c r="AR56" s="478">
        <f t="shared" si="129"/>
        <v>0</v>
      </c>
      <c r="AS56" s="478">
        <f t="shared" si="130"/>
        <v>0</v>
      </c>
      <c r="AT56" s="478">
        <f t="shared" si="131"/>
        <v>0</v>
      </c>
      <c r="AU56" s="478">
        <f t="shared" si="132"/>
        <v>0</v>
      </c>
      <c r="AV56" s="478">
        <f t="shared" si="133"/>
        <v>0</v>
      </c>
      <c r="AX56" s="478">
        <f t="shared" si="134"/>
        <v>0</v>
      </c>
      <c r="AY56" s="478">
        <f t="shared" si="135"/>
        <v>0</v>
      </c>
      <c r="AZ56" s="478">
        <f t="shared" si="136"/>
        <v>0</v>
      </c>
      <c r="BA56" s="478">
        <f t="shared" si="137"/>
        <v>0</v>
      </c>
      <c r="BB56" s="478">
        <f t="shared" si="138"/>
        <v>0</v>
      </c>
      <c r="BC56" s="478">
        <f t="shared" si="139"/>
        <v>0</v>
      </c>
      <c r="BD56" s="478">
        <f t="shared" si="140"/>
        <v>0</v>
      </c>
      <c r="BF56" s="478">
        <f t="shared" si="141"/>
        <v>0</v>
      </c>
      <c r="BG56" s="478">
        <f t="shared" si="142"/>
        <v>0</v>
      </c>
      <c r="BH56" s="478">
        <f t="shared" si="143"/>
        <v>0</v>
      </c>
      <c r="BI56" s="478">
        <f t="shared" si="144"/>
        <v>0</v>
      </c>
      <c r="BJ56" s="478">
        <f t="shared" si="145"/>
        <v>0</v>
      </c>
      <c r="BK56" s="478">
        <f t="shared" si="146"/>
        <v>0</v>
      </c>
      <c r="BM56" s="478">
        <f t="shared" si="147"/>
        <v>0</v>
      </c>
      <c r="BN56" s="478">
        <f t="shared" si="148"/>
        <v>0</v>
      </c>
      <c r="BO56" s="478">
        <f t="shared" si="149"/>
        <v>0</v>
      </c>
      <c r="BP56" s="478">
        <f t="shared" si="150"/>
        <v>0</v>
      </c>
      <c r="BQ56" s="478">
        <f t="shared" si="151"/>
        <v>0</v>
      </c>
      <c r="BR56" s="478">
        <f t="shared" si="152"/>
        <v>0</v>
      </c>
      <c r="BT56" s="475">
        <f t="shared" si="153"/>
        <v>0</v>
      </c>
      <c r="BU56" s="475">
        <f t="shared" si="154"/>
        <v>68.434200000000004</v>
      </c>
    </row>
    <row r="57" spans="1:73" s="464" customFormat="1" x14ac:dyDescent="0.25">
      <c r="A57" s="776" t="s">
        <v>124</v>
      </c>
      <c r="B57" s="456" t="str">
        <f>'ADU-23'!$B$7</f>
        <v>Agriculteurs</v>
      </c>
      <c r="C57" s="456" t="str">
        <f>'ADU-23'!$B$8</f>
        <v xml:space="preserve">Installation d'une centrale de production de biogaz </v>
      </c>
      <c r="D57" s="456" t="str">
        <f>'ADU-23'!$C$4</f>
        <v>Agriculture</v>
      </c>
      <c r="E57" s="456" t="str">
        <f>'ADU-23'!$B$11</f>
        <v>Agriculture</v>
      </c>
      <c r="F57" s="456" t="str">
        <f>'ADU-23'!$B$5</f>
        <v>Montage</v>
      </c>
      <c r="G57" s="457">
        <f>'ADU-23'!$B$16</f>
        <v>15000000</v>
      </c>
      <c r="H57" s="456" t="str">
        <f>'ADU-23'!$B$6</f>
        <v>Subs EU</v>
      </c>
      <c r="I57" s="457">
        <f>'ADU-23'!$B$17</f>
        <v>7500000</v>
      </c>
      <c r="J57" s="457">
        <f>'ADU-23'!$B$20</f>
        <v>186328.584</v>
      </c>
      <c r="K57" s="457">
        <f>'ADU-23'!$B$21</f>
        <v>197730</v>
      </c>
      <c r="L57" s="458">
        <f>'ADU-23'!$B$23</f>
        <v>19.528270718198552</v>
      </c>
      <c r="M57" s="459">
        <f>'ADU-23'!$B$24</f>
        <v>964.16798399999993</v>
      </c>
      <c r="N57" s="460">
        <f t="shared" si="0"/>
        <v>0.1285557312</v>
      </c>
      <c r="O57" s="461" t="str">
        <f>'ADU-23'!$E$5</f>
        <v>Ne pas réaliser</v>
      </c>
      <c r="P57" s="462">
        <f>'ADU-23'!$B$15</f>
        <v>2020</v>
      </c>
      <c r="Q57" s="754" t="str">
        <f t="shared" si="50"/>
        <v/>
      </c>
      <c r="R57" s="463">
        <f t="shared" si="106"/>
        <v>0</v>
      </c>
      <c r="S57" s="463">
        <f t="shared" si="107"/>
        <v>0</v>
      </c>
      <c r="T57" s="463">
        <f t="shared" si="108"/>
        <v>0</v>
      </c>
      <c r="U57" s="463">
        <f t="shared" si="109"/>
        <v>0</v>
      </c>
      <c r="V57" s="463">
        <f t="shared" si="110"/>
        <v>0</v>
      </c>
      <c r="W57" s="463">
        <f t="shared" si="111"/>
        <v>0</v>
      </c>
      <c r="X57" s="463">
        <f t="shared" si="112"/>
        <v>0</v>
      </c>
      <c r="Z57" s="465">
        <f t="shared" si="113"/>
        <v>0</v>
      </c>
      <c r="AA57" s="465">
        <f t="shared" si="114"/>
        <v>0</v>
      </c>
      <c r="AB57" s="465">
        <f t="shared" si="115"/>
        <v>0</v>
      </c>
      <c r="AC57" s="465">
        <f t="shared" si="116"/>
        <v>0</v>
      </c>
      <c r="AD57" s="465">
        <f t="shared" si="117"/>
        <v>0</v>
      </c>
      <c r="AE57" s="465">
        <f t="shared" si="118"/>
        <v>0</v>
      </c>
      <c r="AF57" s="465">
        <f t="shared" si="119"/>
        <v>0</v>
      </c>
      <c r="AH57" s="465">
        <f t="shared" si="120"/>
        <v>0</v>
      </c>
      <c r="AI57" s="465">
        <f t="shared" si="121"/>
        <v>0</v>
      </c>
      <c r="AJ57" s="465">
        <f t="shared" si="122"/>
        <v>0</v>
      </c>
      <c r="AK57" s="465">
        <f t="shared" si="123"/>
        <v>0</v>
      </c>
      <c r="AL57" s="465">
        <f t="shared" si="124"/>
        <v>0</v>
      </c>
      <c r="AM57" s="465">
        <f t="shared" si="125"/>
        <v>0</v>
      </c>
      <c r="AN57" s="465">
        <f t="shared" si="126"/>
        <v>0</v>
      </c>
      <c r="AP57" s="465">
        <f t="shared" si="127"/>
        <v>0</v>
      </c>
      <c r="AQ57" s="465">
        <f t="shared" si="128"/>
        <v>0</v>
      </c>
      <c r="AR57" s="465">
        <f t="shared" si="129"/>
        <v>0</v>
      </c>
      <c r="AS57" s="465">
        <f t="shared" si="130"/>
        <v>0</v>
      </c>
      <c r="AT57" s="465">
        <f t="shared" si="131"/>
        <v>0</v>
      </c>
      <c r="AU57" s="465">
        <f t="shared" si="132"/>
        <v>0</v>
      </c>
      <c r="AV57" s="465">
        <f t="shared" si="133"/>
        <v>0</v>
      </c>
      <c r="AX57" s="465">
        <f t="shared" si="134"/>
        <v>0</v>
      </c>
      <c r="AY57" s="465">
        <f t="shared" si="135"/>
        <v>0</v>
      </c>
      <c r="AZ57" s="465">
        <f t="shared" si="136"/>
        <v>0</v>
      </c>
      <c r="BA57" s="465">
        <f t="shared" si="137"/>
        <v>0</v>
      </c>
      <c r="BB57" s="465">
        <f t="shared" si="138"/>
        <v>0</v>
      </c>
      <c r="BC57" s="465">
        <f t="shared" si="139"/>
        <v>0</v>
      </c>
      <c r="BD57" s="465">
        <f t="shared" si="140"/>
        <v>0</v>
      </c>
      <c r="BF57" s="465">
        <f t="shared" si="141"/>
        <v>0</v>
      </c>
      <c r="BG57" s="465">
        <f t="shared" si="142"/>
        <v>0</v>
      </c>
      <c r="BH57" s="465">
        <f t="shared" si="143"/>
        <v>0</v>
      </c>
      <c r="BI57" s="465">
        <f t="shared" si="144"/>
        <v>0</v>
      </c>
      <c r="BJ57" s="465">
        <f t="shared" si="145"/>
        <v>0</v>
      </c>
      <c r="BK57" s="465">
        <f t="shared" si="146"/>
        <v>0</v>
      </c>
      <c r="BM57" s="465">
        <f t="shared" si="147"/>
        <v>0</v>
      </c>
      <c r="BN57" s="465">
        <f t="shared" si="148"/>
        <v>0</v>
      </c>
      <c r="BO57" s="465">
        <f t="shared" si="149"/>
        <v>0</v>
      </c>
      <c r="BP57" s="465">
        <f t="shared" si="150"/>
        <v>0</v>
      </c>
      <c r="BQ57" s="465">
        <f t="shared" si="151"/>
        <v>0</v>
      </c>
      <c r="BR57" s="465">
        <f t="shared" si="152"/>
        <v>0</v>
      </c>
      <c r="BT57" s="463">
        <f t="shared" si="153"/>
        <v>0</v>
      </c>
      <c r="BU57" s="463">
        <f t="shared" si="154"/>
        <v>0</v>
      </c>
    </row>
    <row r="58" spans="1:73" s="464" customFormat="1" x14ac:dyDescent="0.25">
      <c r="A58" s="776" t="s">
        <v>129</v>
      </c>
      <c r="B58" s="456" t="str">
        <f>'ADU-24'!$B$7</f>
        <v>Biogaz sur cultures dédiées</v>
      </c>
      <c r="C58" s="456" t="str">
        <f>'ADU-24'!$B$8</f>
        <v>Biogaz sur cultures dédiées</v>
      </c>
      <c r="D58" s="456" t="str">
        <f>'ADU-24'!$C$4</f>
        <v>Agriculture</v>
      </c>
      <c r="E58" s="456" t="str">
        <f>'ADU-24'!$B$11</f>
        <v>Agriculture</v>
      </c>
      <c r="F58" s="456" t="str">
        <f>'ADU-24'!$B$5</f>
        <v>Montage</v>
      </c>
      <c r="G58" s="457">
        <f>'ADU-24'!$B$16</f>
        <v>15000000</v>
      </c>
      <c r="H58" s="456" t="str">
        <f>'ADU-24'!$B$6</f>
        <v>Subs EU</v>
      </c>
      <c r="I58" s="457">
        <f>'ADU-24'!$B$17</f>
        <v>7500000</v>
      </c>
      <c r="J58" s="457">
        <f>'ADU-24'!$B$20</f>
        <v>230426.34888000001</v>
      </c>
      <c r="K58" s="457">
        <f>'ADU-24'!$B$21</f>
        <v>244526.1</v>
      </c>
      <c r="L58" s="458">
        <f>'ADU-24'!$B$23</f>
        <v>15.791054489109342</v>
      </c>
      <c r="M58" s="459">
        <f>'ADU-24'!$B$24</f>
        <v>1192.3544068800002</v>
      </c>
      <c r="N58" s="460">
        <f t="shared" si="0"/>
        <v>0.15898058758400002</v>
      </c>
      <c r="O58" s="461" t="str">
        <f>'ADU-24'!$E$5</f>
        <v>Ne pas réaliser</v>
      </c>
      <c r="P58" s="462">
        <f>'ADU-24'!$B$15</f>
        <v>2020</v>
      </c>
      <c r="Q58" s="754" t="str">
        <f t="shared" si="50"/>
        <v/>
      </c>
      <c r="R58" s="463">
        <f t="shared" si="106"/>
        <v>0</v>
      </c>
      <c r="S58" s="463">
        <f t="shared" si="107"/>
        <v>0</v>
      </c>
      <c r="T58" s="463">
        <f t="shared" si="108"/>
        <v>0</v>
      </c>
      <c r="U58" s="463">
        <f t="shared" si="109"/>
        <v>0</v>
      </c>
      <c r="V58" s="463">
        <f t="shared" si="110"/>
        <v>0</v>
      </c>
      <c r="W58" s="463">
        <f t="shared" si="111"/>
        <v>0</v>
      </c>
      <c r="X58" s="463">
        <f t="shared" si="112"/>
        <v>0</v>
      </c>
      <c r="Z58" s="465">
        <f t="shared" si="113"/>
        <v>0</v>
      </c>
      <c r="AA58" s="465">
        <f t="shared" si="114"/>
        <v>0</v>
      </c>
      <c r="AB58" s="465">
        <f t="shared" si="115"/>
        <v>0</v>
      </c>
      <c r="AC58" s="465">
        <f t="shared" si="116"/>
        <v>0</v>
      </c>
      <c r="AD58" s="465">
        <f t="shared" si="117"/>
        <v>0</v>
      </c>
      <c r="AE58" s="465">
        <f t="shared" si="118"/>
        <v>0</v>
      </c>
      <c r="AF58" s="465">
        <f t="shared" si="119"/>
        <v>0</v>
      </c>
      <c r="AH58" s="465">
        <f t="shared" si="120"/>
        <v>0</v>
      </c>
      <c r="AI58" s="465">
        <f t="shared" si="121"/>
        <v>0</v>
      </c>
      <c r="AJ58" s="465">
        <f t="shared" si="122"/>
        <v>0</v>
      </c>
      <c r="AK58" s="465">
        <f t="shared" si="123"/>
        <v>0</v>
      </c>
      <c r="AL58" s="465">
        <f t="shared" si="124"/>
        <v>0</v>
      </c>
      <c r="AM58" s="465">
        <f t="shared" si="125"/>
        <v>0</v>
      </c>
      <c r="AN58" s="465">
        <f t="shared" si="126"/>
        <v>0</v>
      </c>
      <c r="AP58" s="465">
        <f t="shared" si="127"/>
        <v>0</v>
      </c>
      <c r="AQ58" s="465">
        <f t="shared" si="128"/>
        <v>0</v>
      </c>
      <c r="AR58" s="465">
        <f t="shared" si="129"/>
        <v>0</v>
      </c>
      <c r="AS58" s="465">
        <f t="shared" si="130"/>
        <v>0</v>
      </c>
      <c r="AT58" s="465">
        <f t="shared" si="131"/>
        <v>0</v>
      </c>
      <c r="AU58" s="465">
        <f t="shared" si="132"/>
        <v>0</v>
      </c>
      <c r="AV58" s="465">
        <f t="shared" si="133"/>
        <v>0</v>
      </c>
      <c r="AX58" s="465">
        <f t="shared" si="134"/>
        <v>0</v>
      </c>
      <c r="AY58" s="465">
        <f t="shared" si="135"/>
        <v>0</v>
      </c>
      <c r="AZ58" s="465">
        <f t="shared" si="136"/>
        <v>0</v>
      </c>
      <c r="BA58" s="465">
        <f t="shared" si="137"/>
        <v>0</v>
      </c>
      <c r="BB58" s="465">
        <f t="shared" si="138"/>
        <v>0</v>
      </c>
      <c r="BC58" s="465">
        <f t="shared" si="139"/>
        <v>0</v>
      </c>
      <c r="BD58" s="465">
        <f t="shared" si="140"/>
        <v>0</v>
      </c>
      <c r="BF58" s="465">
        <f t="shared" si="141"/>
        <v>0</v>
      </c>
      <c r="BG58" s="465">
        <f t="shared" si="142"/>
        <v>0</v>
      </c>
      <c r="BH58" s="465">
        <f t="shared" si="143"/>
        <v>0</v>
      </c>
      <c r="BI58" s="465">
        <f t="shared" si="144"/>
        <v>0</v>
      </c>
      <c r="BJ58" s="465">
        <f t="shared" si="145"/>
        <v>0</v>
      </c>
      <c r="BK58" s="465">
        <f t="shared" si="146"/>
        <v>0</v>
      </c>
      <c r="BM58" s="465">
        <f t="shared" si="147"/>
        <v>0</v>
      </c>
      <c r="BN58" s="465">
        <f t="shared" si="148"/>
        <v>0</v>
      </c>
      <c r="BO58" s="465">
        <f t="shared" si="149"/>
        <v>0</v>
      </c>
      <c r="BP58" s="465">
        <f t="shared" si="150"/>
        <v>0</v>
      </c>
      <c r="BQ58" s="465">
        <f t="shared" si="151"/>
        <v>0</v>
      </c>
      <c r="BR58" s="465">
        <f t="shared" si="152"/>
        <v>0</v>
      </c>
      <c r="BT58" s="463">
        <f t="shared" si="153"/>
        <v>0</v>
      </c>
      <c r="BU58" s="463">
        <f t="shared" si="154"/>
        <v>0</v>
      </c>
    </row>
    <row r="59" spans="1:73" s="516" customFormat="1" x14ac:dyDescent="0.25">
      <c r="A59" s="772" t="s">
        <v>130</v>
      </c>
      <c r="B59" s="508" t="str">
        <f>'ADU-25'!$B$7</f>
        <v>Agriculteurs</v>
      </c>
      <c r="C59" s="508" t="str">
        <f>'ADU-25'!$B$8</f>
        <v>Diagnostics énergétiques d'exploitations agricoles</v>
      </c>
      <c r="D59" s="508" t="str">
        <f>'ADU-25'!$C$4</f>
        <v>Agriculture</v>
      </c>
      <c r="E59" s="508" t="str">
        <f>'ADU-25'!$B$11</f>
        <v>Agriculture</v>
      </c>
      <c r="F59" s="508" t="str">
        <f>'ADU-25'!$B$5</f>
        <v>Fonds propres</v>
      </c>
      <c r="G59" s="551">
        <f>'ADU-25'!$B$16</f>
        <v>50000</v>
      </c>
      <c r="H59" s="508" t="str">
        <f>'ADU-25'!$B$6</f>
        <v>Pas de subside</v>
      </c>
      <c r="I59" s="551">
        <f>'ADU-25'!$B$17</f>
        <v>10000</v>
      </c>
      <c r="J59" s="551">
        <f>'ADU-25'!$B$20</f>
        <v>8726.4</v>
      </c>
      <c r="K59" s="551">
        <f>'ADU-25'!$B$21</f>
        <v>0</v>
      </c>
      <c r="L59" s="552">
        <f>'ADU-25'!$B$23</f>
        <v>4.5837917125045839</v>
      </c>
      <c r="M59" s="553">
        <f>'ADU-25'!$B$24</f>
        <v>9.2163600000000017</v>
      </c>
      <c r="N59" s="554">
        <f t="shared" si="0"/>
        <v>0.23040900000000006</v>
      </c>
      <c r="O59" s="555" t="str">
        <f>'ADU-25'!$E$5</f>
        <v>A faire</v>
      </c>
      <c r="P59" s="513">
        <f>'ADU-25'!$B$15</f>
        <v>2019</v>
      </c>
      <c r="Q59" s="515" t="str">
        <f>IF(O59="terminé", M59,"")</f>
        <v/>
      </c>
      <c r="R59" s="514">
        <f t="shared" si="106"/>
        <v>0</v>
      </c>
      <c r="S59" s="556">
        <f t="shared" si="107"/>
        <v>0</v>
      </c>
      <c r="T59" s="514">
        <f t="shared" si="108"/>
        <v>0</v>
      </c>
      <c r="U59" s="514">
        <f t="shared" si="109"/>
        <v>0</v>
      </c>
      <c r="V59" s="514">
        <f t="shared" si="110"/>
        <v>0</v>
      </c>
      <c r="W59" s="514">
        <f t="shared" si="111"/>
        <v>0</v>
      </c>
      <c r="X59" s="514">
        <f t="shared" si="112"/>
        <v>0</v>
      </c>
      <c r="Z59" s="507">
        <f t="shared" si="113"/>
        <v>0</v>
      </c>
      <c r="AA59" s="507">
        <f t="shared" si="114"/>
        <v>0</v>
      </c>
      <c r="AB59" s="507">
        <f t="shared" si="115"/>
        <v>0</v>
      </c>
      <c r="AC59" s="507">
        <f t="shared" si="116"/>
        <v>0</v>
      </c>
      <c r="AD59" s="507">
        <f t="shared" si="117"/>
        <v>0</v>
      </c>
      <c r="AE59" s="507">
        <f t="shared" si="118"/>
        <v>0</v>
      </c>
      <c r="AF59" s="507">
        <f t="shared" si="119"/>
        <v>0</v>
      </c>
      <c r="AH59" s="507">
        <f t="shared" si="120"/>
        <v>0</v>
      </c>
      <c r="AI59" s="507">
        <f t="shared" si="121"/>
        <v>0</v>
      </c>
      <c r="AJ59" s="507">
        <f t="shared" si="122"/>
        <v>0</v>
      </c>
      <c r="AK59" s="507">
        <f t="shared" si="123"/>
        <v>0</v>
      </c>
      <c r="AL59" s="507">
        <f t="shared" si="124"/>
        <v>0</v>
      </c>
      <c r="AM59" s="507">
        <f t="shared" si="125"/>
        <v>0</v>
      </c>
      <c r="AN59" s="507">
        <f t="shared" si="126"/>
        <v>0</v>
      </c>
      <c r="AP59" s="507">
        <f t="shared" si="127"/>
        <v>0</v>
      </c>
      <c r="AQ59" s="507">
        <f t="shared" si="128"/>
        <v>0</v>
      </c>
      <c r="AR59" s="507">
        <f t="shared" si="129"/>
        <v>0</v>
      </c>
      <c r="AS59" s="507">
        <f t="shared" si="130"/>
        <v>0</v>
      </c>
      <c r="AT59" s="507">
        <f t="shared" si="131"/>
        <v>0</v>
      </c>
      <c r="AU59" s="507">
        <f t="shared" si="132"/>
        <v>0</v>
      </c>
      <c r="AV59" s="507">
        <f t="shared" si="133"/>
        <v>0</v>
      </c>
      <c r="AX59" s="507">
        <f t="shared" si="134"/>
        <v>0</v>
      </c>
      <c r="AY59" s="507">
        <f t="shared" si="135"/>
        <v>0</v>
      </c>
      <c r="AZ59" s="507">
        <f t="shared" si="136"/>
        <v>0</v>
      </c>
      <c r="BA59" s="507">
        <f t="shared" si="137"/>
        <v>0</v>
      </c>
      <c r="BB59" s="507">
        <f t="shared" si="138"/>
        <v>0</v>
      </c>
      <c r="BC59" s="507">
        <f t="shared" si="139"/>
        <v>0</v>
      </c>
      <c r="BD59" s="507">
        <f t="shared" si="140"/>
        <v>0</v>
      </c>
      <c r="BF59" s="507">
        <f t="shared" si="141"/>
        <v>0</v>
      </c>
      <c r="BG59" s="507">
        <f t="shared" si="142"/>
        <v>0</v>
      </c>
      <c r="BH59" s="507">
        <f t="shared" si="143"/>
        <v>0</v>
      </c>
      <c r="BI59" s="507">
        <f t="shared" si="144"/>
        <v>0</v>
      </c>
      <c r="BJ59" s="507">
        <f t="shared" si="145"/>
        <v>0</v>
      </c>
      <c r="BK59" s="507">
        <f t="shared" si="146"/>
        <v>0</v>
      </c>
      <c r="BM59" s="507">
        <f t="shared" si="147"/>
        <v>0</v>
      </c>
      <c r="BN59" s="507">
        <f t="shared" si="148"/>
        <v>0</v>
      </c>
      <c r="BO59" s="507">
        <f t="shared" si="149"/>
        <v>0</v>
      </c>
      <c r="BP59" s="507">
        <f t="shared" si="150"/>
        <v>0</v>
      </c>
      <c r="BQ59" s="507">
        <f t="shared" si="151"/>
        <v>0</v>
      </c>
      <c r="BR59" s="507">
        <f t="shared" si="152"/>
        <v>0</v>
      </c>
      <c r="BT59" s="514">
        <f t="shared" si="153"/>
        <v>0</v>
      </c>
      <c r="BU59" s="514">
        <f t="shared" si="154"/>
        <v>9.2163600000000017</v>
      </c>
    </row>
    <row r="60" spans="1:73" s="490" customFormat="1" x14ac:dyDescent="0.25">
      <c r="A60" s="777" t="s">
        <v>275</v>
      </c>
      <c r="B60" s="481" t="str">
        <f>'ADU-26'!$B$7</f>
        <v>Processus de fabrication</v>
      </c>
      <c r="C60" s="481" t="str">
        <f>'ADU-26'!$B$8</f>
        <v>Réduction des consommations des processus de fabrication</v>
      </c>
      <c r="D60" s="481" t="str">
        <f>'ADU-26'!$C$4</f>
        <v>Industrie</v>
      </c>
      <c r="E60" s="481" t="str">
        <f>'ADU-26'!$B$11</f>
        <v>Industrie</v>
      </c>
      <c r="F60" s="481" t="str">
        <f>'ADU-26'!$B$5</f>
        <v>Fonds propres</v>
      </c>
      <c r="G60" s="482">
        <f>'ADU-26'!$B$16</f>
        <v>300000</v>
      </c>
      <c r="H60" s="481" t="str">
        <f>'ADU-26'!$B$6</f>
        <v>Pas de subside</v>
      </c>
      <c r="I60" s="482">
        <f>'ADU-26'!$B$17</f>
        <v>90000</v>
      </c>
      <c r="J60" s="482">
        <f>'ADU-26'!$B$20</f>
        <v>44605.3125</v>
      </c>
      <c r="K60" s="482">
        <f>'ADU-26'!$B$21</f>
        <v>0</v>
      </c>
      <c r="L60" s="483">
        <f>'ADU-26'!$B$23</f>
        <v>4.7079593938502278</v>
      </c>
      <c r="M60" s="484">
        <f>'ADU-26'!$B$24</f>
        <v>83.111062500000003</v>
      </c>
      <c r="N60" s="485">
        <f t="shared" si="0"/>
        <v>0.39576696428571428</v>
      </c>
      <c r="O60" s="486" t="str">
        <f>'ADU-26'!$E$5</f>
        <v>A faire</v>
      </c>
      <c r="P60" s="487">
        <f>'ADU-26'!$B$15</f>
        <v>2019</v>
      </c>
      <c r="Q60" s="547" t="str">
        <f t="shared" si="50"/>
        <v/>
      </c>
      <c r="R60" s="488">
        <f t="shared" si="106"/>
        <v>0</v>
      </c>
      <c r="S60" s="488">
        <f t="shared" si="107"/>
        <v>0</v>
      </c>
      <c r="T60" s="489">
        <f t="shared" si="108"/>
        <v>0</v>
      </c>
      <c r="U60" s="488">
        <f t="shared" si="109"/>
        <v>0</v>
      </c>
      <c r="V60" s="488">
        <f t="shared" si="110"/>
        <v>0</v>
      </c>
      <c r="W60" s="488">
        <f t="shared" si="111"/>
        <v>0</v>
      </c>
      <c r="X60" s="488">
        <f t="shared" si="112"/>
        <v>0</v>
      </c>
      <c r="Z60" s="491">
        <f t="shared" si="113"/>
        <v>0</v>
      </c>
      <c r="AA60" s="491">
        <f t="shared" si="114"/>
        <v>0</v>
      </c>
      <c r="AB60" s="491">
        <f t="shared" si="115"/>
        <v>0</v>
      </c>
      <c r="AC60" s="491">
        <f t="shared" si="116"/>
        <v>0</v>
      </c>
      <c r="AD60" s="491">
        <f t="shared" si="117"/>
        <v>0</v>
      </c>
      <c r="AE60" s="491">
        <f t="shared" si="118"/>
        <v>0</v>
      </c>
      <c r="AF60" s="491">
        <f t="shared" si="119"/>
        <v>0</v>
      </c>
      <c r="AH60" s="491">
        <f t="shared" si="120"/>
        <v>0</v>
      </c>
      <c r="AI60" s="491">
        <f t="shared" si="121"/>
        <v>0</v>
      </c>
      <c r="AJ60" s="491">
        <f t="shared" si="122"/>
        <v>0</v>
      </c>
      <c r="AK60" s="491">
        <f t="shared" si="123"/>
        <v>0</v>
      </c>
      <c r="AL60" s="491">
        <f t="shared" si="124"/>
        <v>0</v>
      </c>
      <c r="AM60" s="491">
        <f t="shared" si="125"/>
        <v>0</v>
      </c>
      <c r="AN60" s="491">
        <f t="shared" si="126"/>
        <v>0</v>
      </c>
      <c r="AP60" s="491">
        <f t="shared" si="127"/>
        <v>0</v>
      </c>
      <c r="AQ60" s="491">
        <f t="shared" si="128"/>
        <v>0</v>
      </c>
      <c r="AR60" s="491">
        <f t="shared" si="129"/>
        <v>0</v>
      </c>
      <c r="AS60" s="491">
        <f t="shared" si="130"/>
        <v>0</v>
      </c>
      <c r="AT60" s="491">
        <f t="shared" si="131"/>
        <v>0</v>
      </c>
      <c r="AU60" s="491">
        <f t="shared" si="132"/>
        <v>0</v>
      </c>
      <c r="AV60" s="491">
        <f t="shared" si="133"/>
        <v>0</v>
      </c>
      <c r="AX60" s="491">
        <f t="shared" si="134"/>
        <v>0</v>
      </c>
      <c r="AY60" s="491">
        <f t="shared" si="135"/>
        <v>0</v>
      </c>
      <c r="AZ60" s="491">
        <f t="shared" si="136"/>
        <v>0</v>
      </c>
      <c r="BA60" s="491">
        <f t="shared" si="137"/>
        <v>0</v>
      </c>
      <c r="BB60" s="491">
        <f t="shared" si="138"/>
        <v>0</v>
      </c>
      <c r="BC60" s="491">
        <f t="shared" si="139"/>
        <v>0</v>
      </c>
      <c r="BD60" s="491">
        <f t="shared" si="140"/>
        <v>0</v>
      </c>
      <c r="BF60" s="491">
        <f t="shared" si="141"/>
        <v>0</v>
      </c>
      <c r="BG60" s="491">
        <f t="shared" si="142"/>
        <v>0</v>
      </c>
      <c r="BH60" s="491">
        <f t="shared" si="143"/>
        <v>0</v>
      </c>
      <c r="BI60" s="491">
        <f t="shared" si="144"/>
        <v>0</v>
      </c>
      <c r="BJ60" s="491">
        <f t="shared" si="145"/>
        <v>0</v>
      </c>
      <c r="BK60" s="491">
        <f t="shared" si="146"/>
        <v>0</v>
      </c>
      <c r="BM60" s="491">
        <f t="shared" si="147"/>
        <v>0</v>
      </c>
      <c r="BN60" s="491">
        <f t="shared" si="148"/>
        <v>0</v>
      </c>
      <c r="BO60" s="491">
        <f t="shared" si="149"/>
        <v>0</v>
      </c>
      <c r="BP60" s="491">
        <f t="shared" si="150"/>
        <v>0</v>
      </c>
      <c r="BQ60" s="491">
        <f t="shared" si="151"/>
        <v>0</v>
      </c>
      <c r="BR60" s="491">
        <f t="shared" si="152"/>
        <v>0</v>
      </c>
      <c r="BT60" s="488">
        <f t="shared" si="153"/>
        <v>0</v>
      </c>
      <c r="BU60" s="488">
        <f t="shared" si="154"/>
        <v>83.111062500000003</v>
      </c>
    </row>
    <row r="61" spans="1:73" s="524" customFormat="1" x14ac:dyDescent="0.25">
      <c r="A61" s="778" t="s">
        <v>793</v>
      </c>
      <c r="B61" s="521" t="str">
        <f>'ADU-261'!$B$7</f>
        <v xml:space="preserve">Performance énergétique </v>
      </c>
      <c r="C61" s="521" t="str">
        <f>'ADU-261'!$B$8</f>
        <v>Performance énergétique des bâtiments tertiares</v>
      </c>
      <c r="D61" s="521" t="str">
        <f>'ADU-261'!$C$4</f>
        <v>Tertiaire</v>
      </c>
      <c r="E61" s="521" t="str">
        <f>'ADU-261'!$B$11</f>
        <v>Tertiaire</v>
      </c>
      <c r="F61" s="521" t="str">
        <f>'ADU-261'!$B$5</f>
        <v>Fonds propres</v>
      </c>
      <c r="G61" s="563">
        <f>'ADU-261'!$B$16</f>
        <v>20000</v>
      </c>
      <c r="H61" s="521" t="str">
        <f>'ADU-261'!$B$6</f>
        <v>Pas de subside</v>
      </c>
      <c r="I61" s="563">
        <f>'ADU-261'!$B$17</f>
        <v>0</v>
      </c>
      <c r="J61" s="563">
        <f>'ADU-261'!$B$20</f>
        <v>248007.89753976293</v>
      </c>
      <c r="K61" s="563">
        <f>'ADU-261'!$B$21</f>
        <v>0</v>
      </c>
      <c r="L61" s="564">
        <f>'ADU-261'!$B$23</f>
        <v>8.0642593233521589E-2</v>
      </c>
      <c r="M61" s="565">
        <f>'ADU-261'!$B$24</f>
        <v>791.39709048715372</v>
      </c>
      <c r="N61" s="566">
        <f t="shared" ref="N61" si="156">IF(G61=0,0,M61/(G61-I61)*1000)</f>
        <v>39.56985452435768</v>
      </c>
      <c r="O61" s="567" t="str">
        <f>'ADU-261'!$E$5</f>
        <v>En cours</v>
      </c>
      <c r="P61" s="522">
        <f>'ADU-261'!$B$15</f>
        <v>2020</v>
      </c>
      <c r="Q61" s="654" t="str">
        <f t="shared" si="50"/>
        <v/>
      </c>
      <c r="R61" s="523">
        <f t="shared" si="106"/>
        <v>0</v>
      </c>
      <c r="S61" s="523">
        <f t="shared" si="107"/>
        <v>0</v>
      </c>
      <c r="T61" s="568">
        <f t="shared" si="108"/>
        <v>0</v>
      </c>
      <c r="U61" s="523">
        <f t="shared" si="109"/>
        <v>0</v>
      </c>
      <c r="V61" s="523">
        <f t="shared" si="110"/>
        <v>0</v>
      </c>
      <c r="W61" s="523">
        <f t="shared" si="111"/>
        <v>0</v>
      </c>
      <c r="X61" s="523">
        <f t="shared" si="112"/>
        <v>0</v>
      </c>
      <c r="Z61" s="520">
        <f t="shared" si="113"/>
        <v>0</v>
      </c>
      <c r="AA61" s="520">
        <f t="shared" si="114"/>
        <v>0</v>
      </c>
      <c r="AB61" s="520">
        <f t="shared" si="115"/>
        <v>0</v>
      </c>
      <c r="AC61" s="520">
        <f t="shared" si="116"/>
        <v>0</v>
      </c>
      <c r="AD61" s="520">
        <f t="shared" si="117"/>
        <v>0</v>
      </c>
      <c r="AE61" s="520">
        <f t="shared" si="118"/>
        <v>0</v>
      </c>
      <c r="AF61" s="520">
        <f t="shared" si="119"/>
        <v>0</v>
      </c>
      <c r="AH61" s="520">
        <f t="shared" si="120"/>
        <v>0</v>
      </c>
      <c r="AI61" s="520">
        <f t="shared" si="121"/>
        <v>0</v>
      </c>
      <c r="AJ61" s="520">
        <f t="shared" si="122"/>
        <v>0</v>
      </c>
      <c r="AK61" s="520">
        <f t="shared" si="123"/>
        <v>0</v>
      </c>
      <c r="AL61" s="520">
        <f t="shared" si="124"/>
        <v>0</v>
      </c>
      <c r="AM61" s="520">
        <f t="shared" si="125"/>
        <v>0</v>
      </c>
      <c r="AN61" s="520">
        <f t="shared" si="126"/>
        <v>0</v>
      </c>
      <c r="AP61" s="520">
        <f t="shared" si="127"/>
        <v>0</v>
      </c>
      <c r="AQ61" s="520">
        <f t="shared" si="128"/>
        <v>0</v>
      </c>
      <c r="AR61" s="520">
        <f t="shared" si="129"/>
        <v>0</v>
      </c>
      <c r="AS61" s="520">
        <f t="shared" si="130"/>
        <v>0</v>
      </c>
      <c r="AT61" s="520">
        <f t="shared" si="131"/>
        <v>0</v>
      </c>
      <c r="AU61" s="520">
        <f t="shared" si="132"/>
        <v>0</v>
      </c>
      <c r="AV61" s="520">
        <f t="shared" si="133"/>
        <v>0</v>
      </c>
      <c r="AX61" s="520">
        <f t="shared" si="134"/>
        <v>0</v>
      </c>
      <c r="AY61" s="520">
        <f t="shared" si="135"/>
        <v>0</v>
      </c>
      <c r="AZ61" s="520">
        <f t="shared" si="136"/>
        <v>0</v>
      </c>
      <c r="BA61" s="520">
        <f t="shared" si="137"/>
        <v>0</v>
      </c>
      <c r="BB61" s="520">
        <f t="shared" si="138"/>
        <v>0</v>
      </c>
      <c r="BC61" s="520">
        <f t="shared" si="139"/>
        <v>0</v>
      </c>
      <c r="BD61" s="520">
        <f t="shared" si="140"/>
        <v>0</v>
      </c>
      <c r="BF61" s="520">
        <f t="shared" si="141"/>
        <v>0</v>
      </c>
      <c r="BG61" s="520">
        <f t="shared" si="142"/>
        <v>0</v>
      </c>
      <c r="BH61" s="520">
        <f t="shared" si="143"/>
        <v>0</v>
      </c>
      <c r="BI61" s="520">
        <f t="shared" si="144"/>
        <v>0</v>
      </c>
      <c r="BJ61" s="520">
        <f t="shared" si="145"/>
        <v>0</v>
      </c>
      <c r="BK61" s="520">
        <f t="shared" si="146"/>
        <v>0</v>
      </c>
      <c r="BM61" s="520">
        <f t="shared" si="147"/>
        <v>0</v>
      </c>
      <c r="BN61" s="520">
        <f t="shared" si="148"/>
        <v>0</v>
      </c>
      <c r="BO61" s="520">
        <f t="shared" si="149"/>
        <v>0</v>
      </c>
      <c r="BP61" s="520">
        <f t="shared" si="150"/>
        <v>0</v>
      </c>
      <c r="BQ61" s="520">
        <f t="shared" si="151"/>
        <v>0</v>
      </c>
      <c r="BR61" s="520">
        <f t="shared" si="152"/>
        <v>0</v>
      </c>
      <c r="BT61" s="523">
        <f t="shared" si="153"/>
        <v>0</v>
      </c>
      <c r="BU61" s="523">
        <f t="shared" si="154"/>
        <v>0</v>
      </c>
    </row>
    <row r="62" spans="1:73" s="477" customFormat="1" x14ac:dyDescent="0.25">
      <c r="A62" s="769" t="s">
        <v>276</v>
      </c>
      <c r="B62" s="468" t="str">
        <f>'ADU-27'!$B$7</f>
        <v>Logement</v>
      </c>
      <c r="C62" s="468" t="str">
        <f>'ADU-27'!$B$8</f>
        <v xml:space="preserve"> Chauffage d'appoint et changement de vecteur énergétique </v>
      </c>
      <c r="D62" s="468" t="str">
        <f>'ADU-27'!$C$4</f>
        <v>Logement</v>
      </c>
      <c r="E62" s="468" t="str">
        <f>'ADU-27'!$B$11</f>
        <v>Citoyen</v>
      </c>
      <c r="F62" s="468" t="str">
        <f>'ADU-27'!$B$5</f>
        <v>Fonds propres</v>
      </c>
      <c r="G62" s="469">
        <f>'ADU-27'!$B$16</f>
        <v>300000</v>
      </c>
      <c r="H62" s="468" t="str">
        <f>'ADU-27'!$B$6</f>
        <v>Prime RW</v>
      </c>
      <c r="I62" s="469">
        <f>'ADU-27'!$B$17</f>
        <v>48000</v>
      </c>
      <c r="J62" s="469">
        <f>'ADU-27'!$B$20</f>
        <v>59219.999999999993</v>
      </c>
      <c r="K62" s="469">
        <f>'ADU-27'!$B$21</f>
        <v>0</v>
      </c>
      <c r="L62" s="470">
        <f>'ADU-27'!$B$23</f>
        <v>4.255319148936171</v>
      </c>
      <c r="M62" s="471">
        <f>'ADU-27'!$B$24</f>
        <v>220.80600000000001</v>
      </c>
      <c r="N62" s="472">
        <f t="shared" si="0"/>
        <v>0.87621428571428572</v>
      </c>
      <c r="O62" s="473" t="str">
        <f>'ADU-27'!$E$5</f>
        <v>Terminé</v>
      </c>
      <c r="P62" s="474">
        <f>'ADU-27'!$B$15</f>
        <v>2020</v>
      </c>
      <c r="Q62" s="539">
        <f t="shared" si="50"/>
        <v>220.80600000000001</v>
      </c>
      <c r="R62" s="475">
        <f t="shared" si="106"/>
        <v>0</v>
      </c>
      <c r="S62" s="475">
        <f t="shared" si="107"/>
        <v>0</v>
      </c>
      <c r="T62" s="475">
        <f t="shared" si="108"/>
        <v>0</v>
      </c>
      <c r="U62" s="476">
        <f t="shared" si="109"/>
        <v>220.80600000000001</v>
      </c>
      <c r="V62" s="475">
        <f t="shared" si="110"/>
        <v>0</v>
      </c>
      <c r="W62" s="475">
        <f t="shared" si="111"/>
        <v>0</v>
      </c>
      <c r="X62" s="475">
        <f t="shared" si="112"/>
        <v>0</v>
      </c>
      <c r="Z62" s="478">
        <f t="shared" si="113"/>
        <v>0</v>
      </c>
      <c r="AA62" s="478">
        <f t="shared" si="114"/>
        <v>0</v>
      </c>
      <c r="AB62" s="478">
        <f t="shared" si="115"/>
        <v>0</v>
      </c>
      <c r="AC62" s="478">
        <f t="shared" si="116"/>
        <v>300000</v>
      </c>
      <c r="AD62" s="478">
        <f t="shared" si="117"/>
        <v>0</v>
      </c>
      <c r="AE62" s="478">
        <f t="shared" si="118"/>
        <v>0</v>
      </c>
      <c r="AF62" s="478">
        <f t="shared" si="119"/>
        <v>0</v>
      </c>
      <c r="AH62" s="478">
        <f t="shared" si="120"/>
        <v>0</v>
      </c>
      <c r="AI62" s="478">
        <f t="shared" si="121"/>
        <v>0</v>
      </c>
      <c r="AJ62" s="478">
        <f t="shared" si="122"/>
        <v>0</v>
      </c>
      <c r="AK62" s="478">
        <f t="shared" si="123"/>
        <v>48000</v>
      </c>
      <c r="AL62" s="478">
        <f t="shared" si="124"/>
        <v>0</v>
      </c>
      <c r="AM62" s="478">
        <f t="shared" si="125"/>
        <v>0</v>
      </c>
      <c r="AN62" s="478">
        <f t="shared" si="126"/>
        <v>0</v>
      </c>
      <c r="AP62" s="478">
        <f t="shared" si="127"/>
        <v>0</v>
      </c>
      <c r="AQ62" s="478">
        <f t="shared" si="128"/>
        <v>0</v>
      </c>
      <c r="AR62" s="478">
        <f t="shared" si="129"/>
        <v>0</v>
      </c>
      <c r="AS62" s="478">
        <f t="shared" si="130"/>
        <v>59219.999999999993</v>
      </c>
      <c r="AT62" s="478">
        <f t="shared" si="131"/>
        <v>0</v>
      </c>
      <c r="AU62" s="478">
        <f t="shared" si="132"/>
        <v>0</v>
      </c>
      <c r="AV62" s="478">
        <f t="shared" si="133"/>
        <v>0</v>
      </c>
      <c r="AX62" s="478">
        <f t="shared" si="134"/>
        <v>0</v>
      </c>
      <c r="AY62" s="478">
        <f t="shared" si="135"/>
        <v>0</v>
      </c>
      <c r="AZ62" s="478">
        <f t="shared" si="136"/>
        <v>0</v>
      </c>
      <c r="BA62" s="478">
        <f t="shared" si="137"/>
        <v>0</v>
      </c>
      <c r="BB62" s="478">
        <f t="shared" si="138"/>
        <v>0</v>
      </c>
      <c r="BC62" s="478">
        <f t="shared" si="139"/>
        <v>0</v>
      </c>
      <c r="BD62" s="478">
        <f t="shared" si="140"/>
        <v>0</v>
      </c>
      <c r="BF62" s="478">
        <f t="shared" si="141"/>
        <v>0</v>
      </c>
      <c r="BG62" s="478">
        <f t="shared" si="142"/>
        <v>0</v>
      </c>
      <c r="BH62" s="478">
        <f t="shared" si="143"/>
        <v>300000</v>
      </c>
      <c r="BI62" s="478">
        <f t="shared" si="144"/>
        <v>0</v>
      </c>
      <c r="BJ62" s="478">
        <f t="shared" si="145"/>
        <v>0</v>
      </c>
      <c r="BK62" s="478">
        <f t="shared" si="146"/>
        <v>0</v>
      </c>
      <c r="BM62" s="478">
        <f t="shared" si="147"/>
        <v>0</v>
      </c>
      <c r="BN62" s="478">
        <f t="shared" si="148"/>
        <v>0</v>
      </c>
      <c r="BO62" s="478">
        <f t="shared" si="149"/>
        <v>48000</v>
      </c>
      <c r="BP62" s="478">
        <f t="shared" si="150"/>
        <v>0</v>
      </c>
      <c r="BQ62" s="478">
        <f t="shared" si="151"/>
        <v>0</v>
      </c>
      <c r="BR62" s="478">
        <f t="shared" si="152"/>
        <v>0</v>
      </c>
      <c r="BT62" s="475">
        <f t="shared" si="153"/>
        <v>220.80600000000001</v>
      </c>
      <c r="BU62" s="475">
        <f t="shared" si="154"/>
        <v>0</v>
      </c>
    </row>
    <row r="63" spans="1:73" s="503" customFormat="1" x14ac:dyDescent="0.25">
      <c r="A63" s="770" t="s">
        <v>287</v>
      </c>
      <c r="B63" s="494" t="str">
        <f>'ADU-28'!$B$7</f>
        <v>Agriculteurs</v>
      </c>
      <c r="C63" s="494" t="str">
        <f>'ADU-28'!$B$8</f>
        <v xml:space="preserve">Installation "individuelle" de production de biogaz </v>
      </c>
      <c r="D63" s="494" t="str">
        <f>'ADU-28'!$C$4</f>
        <v>Agriculture</v>
      </c>
      <c r="E63" s="494" t="str">
        <f>'ADU-28'!$B$11</f>
        <v>Agriculture</v>
      </c>
      <c r="F63" s="494" t="str">
        <f>'ADU-28'!$B$5</f>
        <v>Prêt bancaire</v>
      </c>
      <c r="G63" s="495">
        <f>'ADU-28'!$B$16</f>
        <v>360000</v>
      </c>
      <c r="H63" s="494" t="str">
        <f>'ADU-28'!$B$6</f>
        <v>Subs RW</v>
      </c>
      <c r="I63" s="495">
        <f>'ADU-28'!$B$17</f>
        <v>108000</v>
      </c>
      <c r="J63" s="495">
        <f>'ADU-28'!$B$20</f>
        <v>38237.483700000004</v>
      </c>
      <c r="K63" s="495">
        <f>'ADU-28'!$B$21</f>
        <v>17795.699999999997</v>
      </c>
      <c r="L63" s="496">
        <f>'ADU-28'!$B$23</f>
        <v>4.4973350318482792</v>
      </c>
      <c r="M63" s="497">
        <f>'ADU-28'!$B$24</f>
        <v>86.77511856000001</v>
      </c>
      <c r="N63" s="498">
        <f t="shared" si="0"/>
        <v>0.3443457085714286</v>
      </c>
      <c r="O63" s="499" t="str">
        <f>'ADU-28'!$E$5</f>
        <v>A faire</v>
      </c>
      <c r="P63" s="500">
        <f>'ADU-28'!$B$15</f>
        <v>2020</v>
      </c>
      <c r="Q63" s="530" t="str">
        <f t="shared" si="50"/>
        <v/>
      </c>
      <c r="R63" s="501">
        <f t="shared" si="106"/>
        <v>0</v>
      </c>
      <c r="S63" s="502">
        <f t="shared" si="107"/>
        <v>0</v>
      </c>
      <c r="T63" s="501">
        <f t="shared" si="108"/>
        <v>0</v>
      </c>
      <c r="U63" s="501">
        <f t="shared" si="109"/>
        <v>0</v>
      </c>
      <c r="V63" s="501">
        <f t="shared" si="110"/>
        <v>0</v>
      </c>
      <c r="W63" s="501">
        <f t="shared" si="111"/>
        <v>0</v>
      </c>
      <c r="X63" s="501">
        <f t="shared" si="112"/>
        <v>0</v>
      </c>
      <c r="Z63" s="504">
        <f t="shared" si="113"/>
        <v>0</v>
      </c>
      <c r="AA63" s="504">
        <f t="shared" si="114"/>
        <v>0</v>
      </c>
      <c r="AB63" s="504">
        <f t="shared" si="115"/>
        <v>0</v>
      </c>
      <c r="AC63" s="504">
        <f t="shared" si="116"/>
        <v>0</v>
      </c>
      <c r="AD63" s="504">
        <f t="shared" si="117"/>
        <v>0</v>
      </c>
      <c r="AE63" s="504">
        <f t="shared" si="118"/>
        <v>0</v>
      </c>
      <c r="AF63" s="504">
        <f t="shared" si="119"/>
        <v>0</v>
      </c>
      <c r="AH63" s="504">
        <f t="shared" si="120"/>
        <v>0</v>
      </c>
      <c r="AI63" s="504">
        <f t="shared" si="121"/>
        <v>0</v>
      </c>
      <c r="AJ63" s="504">
        <f t="shared" si="122"/>
        <v>0</v>
      </c>
      <c r="AK63" s="504">
        <f t="shared" si="123"/>
        <v>0</v>
      </c>
      <c r="AL63" s="504">
        <f t="shared" si="124"/>
        <v>0</v>
      </c>
      <c r="AM63" s="504">
        <f t="shared" si="125"/>
        <v>0</v>
      </c>
      <c r="AN63" s="504">
        <f t="shared" si="126"/>
        <v>0</v>
      </c>
      <c r="AP63" s="504">
        <f t="shared" si="127"/>
        <v>0</v>
      </c>
      <c r="AQ63" s="504">
        <f t="shared" si="128"/>
        <v>0</v>
      </c>
      <c r="AR63" s="504">
        <f t="shared" si="129"/>
        <v>0</v>
      </c>
      <c r="AS63" s="504">
        <f t="shared" si="130"/>
        <v>0</v>
      </c>
      <c r="AT63" s="504">
        <f t="shared" si="131"/>
        <v>0</v>
      </c>
      <c r="AU63" s="504">
        <f t="shared" si="132"/>
        <v>0</v>
      </c>
      <c r="AV63" s="504">
        <f t="shared" si="133"/>
        <v>0</v>
      </c>
      <c r="AX63" s="504">
        <f t="shared" si="134"/>
        <v>0</v>
      </c>
      <c r="AY63" s="504">
        <f t="shared" si="135"/>
        <v>0</v>
      </c>
      <c r="AZ63" s="504">
        <f t="shared" si="136"/>
        <v>0</v>
      </c>
      <c r="BA63" s="504">
        <f t="shared" si="137"/>
        <v>0</v>
      </c>
      <c r="BB63" s="504">
        <f t="shared" si="138"/>
        <v>0</v>
      </c>
      <c r="BC63" s="504">
        <f t="shared" si="139"/>
        <v>0</v>
      </c>
      <c r="BD63" s="504">
        <f t="shared" si="140"/>
        <v>0</v>
      </c>
      <c r="BF63" s="504">
        <f t="shared" si="141"/>
        <v>0</v>
      </c>
      <c r="BG63" s="504">
        <f t="shared" si="142"/>
        <v>0</v>
      </c>
      <c r="BH63" s="504">
        <f t="shared" si="143"/>
        <v>0</v>
      </c>
      <c r="BI63" s="504">
        <f t="shared" si="144"/>
        <v>0</v>
      </c>
      <c r="BJ63" s="504">
        <f t="shared" si="145"/>
        <v>0</v>
      </c>
      <c r="BK63" s="504">
        <f t="shared" si="146"/>
        <v>0</v>
      </c>
      <c r="BM63" s="504">
        <f t="shared" si="147"/>
        <v>0</v>
      </c>
      <c r="BN63" s="504">
        <f t="shared" si="148"/>
        <v>0</v>
      </c>
      <c r="BO63" s="504">
        <f t="shared" si="149"/>
        <v>0</v>
      </c>
      <c r="BP63" s="504">
        <f t="shared" si="150"/>
        <v>0</v>
      </c>
      <c r="BQ63" s="504">
        <f t="shared" si="151"/>
        <v>0</v>
      </c>
      <c r="BR63" s="504">
        <f t="shared" si="152"/>
        <v>0</v>
      </c>
      <c r="BT63" s="501">
        <f t="shared" si="153"/>
        <v>0</v>
      </c>
      <c r="BU63" s="501">
        <f t="shared" si="154"/>
        <v>86.77511856000001</v>
      </c>
    </row>
    <row r="64" spans="1:73" s="464" customFormat="1" x14ac:dyDescent="0.25">
      <c r="A64" s="776" t="s">
        <v>239</v>
      </c>
      <c r="B64" s="456" t="str">
        <f>'ADU-29'!$B$7</f>
        <v>Industrie</v>
      </c>
      <c r="C64" s="456" t="str">
        <f>'ADU-29'!$B$8</f>
        <v>Installation d'un parc de 4 éoliennes de 2,97 MW</v>
      </c>
      <c r="D64" s="456" t="str">
        <f>'ADU-29'!$C$4</f>
        <v>Territoire</v>
      </c>
      <c r="E64" s="456" t="str">
        <f>'ADU-29'!$B$11</f>
        <v>AC HABAY</v>
      </c>
      <c r="F64" s="456" t="str">
        <f>'ADU-29'!$B$5</f>
        <v>Montage</v>
      </c>
      <c r="G64" s="457">
        <f>'ADU-29'!$B$16</f>
        <v>17820000</v>
      </c>
      <c r="H64" s="456" t="str">
        <f>'ADU-29'!$B$6</f>
        <v>CV</v>
      </c>
      <c r="I64" s="457">
        <f>'ADU-29'!$B$17</f>
        <v>3564000</v>
      </c>
      <c r="J64" s="457">
        <f>'ADU-29'!$B$20</f>
        <v>1040688</v>
      </c>
      <c r="K64" s="457">
        <f>'ADU-29'!$B$21</f>
        <v>1691118</v>
      </c>
      <c r="L64" s="458">
        <f>'ADU-29'!$B$23</f>
        <v>5.2185257664709717</v>
      </c>
      <c r="M64" s="459">
        <f>'ADU-29'!$B$24</f>
        <v>9496.2780000000002</v>
      </c>
      <c r="N64" s="460">
        <f t="shared" si="0"/>
        <v>0.66612500000000008</v>
      </c>
      <c r="O64" s="461" t="str">
        <f>'ADU-29'!$E$5</f>
        <v>A investiguer</v>
      </c>
      <c r="P64" s="462">
        <f>'ADU-29'!$B$15</f>
        <v>2020</v>
      </c>
      <c r="Q64" s="754" t="str">
        <f t="shared" si="50"/>
        <v/>
      </c>
      <c r="R64" s="463">
        <f t="shared" si="106"/>
        <v>0</v>
      </c>
      <c r="S64" s="463">
        <f t="shared" si="107"/>
        <v>0</v>
      </c>
      <c r="T64" s="463">
        <f t="shared" si="108"/>
        <v>0</v>
      </c>
      <c r="U64" s="463">
        <f t="shared" si="109"/>
        <v>0</v>
      </c>
      <c r="V64" s="463">
        <f t="shared" si="110"/>
        <v>0</v>
      </c>
      <c r="W64" s="463">
        <f t="shared" si="111"/>
        <v>0</v>
      </c>
      <c r="X64" s="463">
        <f t="shared" si="112"/>
        <v>0</v>
      </c>
      <c r="Z64" s="465">
        <f t="shared" si="113"/>
        <v>0</v>
      </c>
      <c r="AA64" s="465">
        <f t="shared" si="114"/>
        <v>0</v>
      </c>
      <c r="AB64" s="465">
        <f t="shared" si="115"/>
        <v>0</v>
      </c>
      <c r="AC64" s="465">
        <f t="shared" si="116"/>
        <v>0</v>
      </c>
      <c r="AD64" s="465">
        <f t="shared" si="117"/>
        <v>0</v>
      </c>
      <c r="AE64" s="465">
        <f t="shared" si="118"/>
        <v>0</v>
      </c>
      <c r="AF64" s="465">
        <f t="shared" si="119"/>
        <v>0</v>
      </c>
      <c r="AH64" s="465">
        <f t="shared" si="120"/>
        <v>0</v>
      </c>
      <c r="AI64" s="465">
        <f t="shared" si="121"/>
        <v>0</v>
      </c>
      <c r="AJ64" s="465">
        <f t="shared" si="122"/>
        <v>0</v>
      </c>
      <c r="AK64" s="465">
        <f t="shared" si="123"/>
        <v>0</v>
      </c>
      <c r="AL64" s="465">
        <f t="shared" si="124"/>
        <v>0</v>
      </c>
      <c r="AM64" s="465">
        <f t="shared" si="125"/>
        <v>0</v>
      </c>
      <c r="AN64" s="465">
        <f t="shared" si="126"/>
        <v>0</v>
      </c>
      <c r="AP64" s="465">
        <f t="shared" si="127"/>
        <v>0</v>
      </c>
      <c r="AQ64" s="465">
        <f t="shared" si="128"/>
        <v>0</v>
      </c>
      <c r="AR64" s="465">
        <f t="shared" si="129"/>
        <v>0</v>
      </c>
      <c r="AS64" s="465">
        <f t="shared" si="130"/>
        <v>0</v>
      </c>
      <c r="AT64" s="465">
        <f t="shared" si="131"/>
        <v>0</v>
      </c>
      <c r="AU64" s="465">
        <f t="shared" si="132"/>
        <v>0</v>
      </c>
      <c r="AV64" s="465">
        <f t="shared" si="133"/>
        <v>0</v>
      </c>
      <c r="AX64" s="465">
        <f t="shared" si="134"/>
        <v>0</v>
      </c>
      <c r="AY64" s="465">
        <f t="shared" si="135"/>
        <v>0</v>
      </c>
      <c r="AZ64" s="465">
        <f t="shared" si="136"/>
        <v>0</v>
      </c>
      <c r="BA64" s="465">
        <f t="shared" si="137"/>
        <v>0</v>
      </c>
      <c r="BB64" s="465">
        <f t="shared" si="138"/>
        <v>0</v>
      </c>
      <c r="BC64" s="465">
        <f t="shared" si="139"/>
        <v>0</v>
      </c>
      <c r="BD64" s="465">
        <f t="shared" si="140"/>
        <v>0</v>
      </c>
      <c r="BF64" s="465">
        <f t="shared" si="141"/>
        <v>0</v>
      </c>
      <c r="BG64" s="465">
        <f t="shared" si="142"/>
        <v>0</v>
      </c>
      <c r="BH64" s="465">
        <f t="shared" si="143"/>
        <v>0</v>
      </c>
      <c r="BI64" s="465">
        <f t="shared" si="144"/>
        <v>0</v>
      </c>
      <c r="BJ64" s="465">
        <f t="shared" si="145"/>
        <v>0</v>
      </c>
      <c r="BK64" s="465">
        <f t="shared" si="146"/>
        <v>0</v>
      </c>
      <c r="BM64" s="465">
        <f t="shared" si="147"/>
        <v>0</v>
      </c>
      <c r="BN64" s="465">
        <f t="shared" si="148"/>
        <v>0</v>
      </c>
      <c r="BO64" s="465">
        <f t="shared" si="149"/>
        <v>0</v>
      </c>
      <c r="BP64" s="465">
        <f t="shared" si="150"/>
        <v>0</v>
      </c>
      <c r="BQ64" s="465">
        <f t="shared" si="151"/>
        <v>0</v>
      </c>
      <c r="BR64" s="465">
        <f t="shared" si="152"/>
        <v>0</v>
      </c>
      <c r="BT64" s="463">
        <f t="shared" si="153"/>
        <v>0</v>
      </c>
      <c r="BU64" s="463">
        <f t="shared" si="154"/>
        <v>0</v>
      </c>
    </row>
    <row r="65" spans="1:73" s="442" customFormat="1" x14ac:dyDescent="0.25">
      <c r="A65" s="779" t="s">
        <v>134</v>
      </c>
      <c r="B65" s="433" t="str">
        <f>'ADU-30'!$B$7</f>
        <v>Transport</v>
      </c>
      <c r="C65" s="433" t="str">
        <f>'ADU-30'!$B$8</f>
        <v>Formation à l'éco-conduite</v>
      </c>
      <c r="D65" s="433" t="str">
        <f>'ADU-30'!$C$4</f>
        <v>Transport</v>
      </c>
      <c r="E65" s="433" t="str">
        <f>'ADU-30'!$B$11</f>
        <v>Citoyen</v>
      </c>
      <c r="F65" s="433" t="str">
        <f>'ADU-30'!$B$5</f>
        <v>Fonds propres</v>
      </c>
      <c r="G65" s="434">
        <f>'ADU-30'!$B$16</f>
        <v>20000</v>
      </c>
      <c r="H65" s="433" t="str">
        <f>'ADU-30'!$B$6</f>
        <v>Pas de subside</v>
      </c>
      <c r="I65" s="434">
        <f>'ADU-30'!$B$17</f>
        <v>0</v>
      </c>
      <c r="J65" s="434">
        <f>'ADU-30'!$B$20</f>
        <v>14870.400000000001</v>
      </c>
      <c r="K65" s="434">
        <f>'ADU-30'!$B$21</f>
        <v>0</v>
      </c>
      <c r="L65" s="435">
        <f>'ADU-30'!$B$23</f>
        <v>1.3449537335915642</v>
      </c>
      <c r="M65" s="436">
        <f>'ADU-30'!$B$24</f>
        <v>24.257339999999999</v>
      </c>
      <c r="N65" s="437">
        <f t="shared" si="0"/>
        <v>1.2128670000000001</v>
      </c>
      <c r="O65" s="438" t="str">
        <f>'ADU-30'!$E$5</f>
        <v>A faire</v>
      </c>
      <c r="P65" s="439">
        <f>'ADU-30'!$B$15</f>
        <v>2020</v>
      </c>
      <c r="Q65" s="656" t="str">
        <f t="shared" si="50"/>
        <v/>
      </c>
      <c r="R65" s="440">
        <f t="shared" si="106"/>
        <v>0</v>
      </c>
      <c r="S65" s="440">
        <f t="shared" si="107"/>
        <v>0</v>
      </c>
      <c r="T65" s="440">
        <f t="shared" si="108"/>
        <v>0</v>
      </c>
      <c r="U65" s="440">
        <f t="shared" si="109"/>
        <v>0</v>
      </c>
      <c r="V65" s="440">
        <f t="shared" si="110"/>
        <v>0</v>
      </c>
      <c r="W65" s="441">
        <f t="shared" si="111"/>
        <v>0</v>
      </c>
      <c r="X65" s="440">
        <f t="shared" si="112"/>
        <v>0</v>
      </c>
      <c r="Z65" s="443">
        <f t="shared" si="113"/>
        <v>0</v>
      </c>
      <c r="AA65" s="443">
        <f t="shared" si="114"/>
        <v>0</v>
      </c>
      <c r="AB65" s="443">
        <f t="shared" si="115"/>
        <v>0</v>
      </c>
      <c r="AC65" s="443">
        <f t="shared" si="116"/>
        <v>0</v>
      </c>
      <c r="AD65" s="443">
        <f t="shared" si="117"/>
        <v>0</v>
      </c>
      <c r="AE65" s="443">
        <f t="shared" si="118"/>
        <v>0</v>
      </c>
      <c r="AF65" s="443">
        <f t="shared" si="119"/>
        <v>0</v>
      </c>
      <c r="AH65" s="443">
        <f t="shared" si="120"/>
        <v>0</v>
      </c>
      <c r="AI65" s="443">
        <f t="shared" si="121"/>
        <v>0</v>
      </c>
      <c r="AJ65" s="443">
        <f t="shared" si="122"/>
        <v>0</v>
      </c>
      <c r="AK65" s="443">
        <f t="shared" si="123"/>
        <v>0</v>
      </c>
      <c r="AL65" s="443">
        <f t="shared" si="124"/>
        <v>0</v>
      </c>
      <c r="AM65" s="443">
        <f t="shared" si="125"/>
        <v>0</v>
      </c>
      <c r="AN65" s="443">
        <f t="shared" si="126"/>
        <v>0</v>
      </c>
      <c r="AP65" s="443">
        <f t="shared" si="127"/>
        <v>0</v>
      </c>
      <c r="AQ65" s="443">
        <f t="shared" si="128"/>
        <v>0</v>
      </c>
      <c r="AR65" s="443">
        <f t="shared" si="129"/>
        <v>0</v>
      </c>
      <c r="AS65" s="443">
        <f t="shared" si="130"/>
        <v>0</v>
      </c>
      <c r="AT65" s="443">
        <f t="shared" si="131"/>
        <v>0</v>
      </c>
      <c r="AU65" s="443">
        <f t="shared" si="132"/>
        <v>0</v>
      </c>
      <c r="AV65" s="443">
        <f t="shared" si="133"/>
        <v>0</v>
      </c>
      <c r="AX65" s="443">
        <f t="shared" si="134"/>
        <v>0</v>
      </c>
      <c r="AY65" s="443">
        <f t="shared" si="135"/>
        <v>0</v>
      </c>
      <c r="AZ65" s="443">
        <f t="shared" si="136"/>
        <v>0</v>
      </c>
      <c r="BA65" s="443">
        <f t="shared" si="137"/>
        <v>0</v>
      </c>
      <c r="BB65" s="443">
        <f t="shared" si="138"/>
        <v>0</v>
      </c>
      <c r="BC65" s="443">
        <f t="shared" si="139"/>
        <v>0</v>
      </c>
      <c r="BD65" s="443">
        <f t="shared" si="140"/>
        <v>0</v>
      </c>
      <c r="BF65" s="443">
        <f t="shared" si="141"/>
        <v>0</v>
      </c>
      <c r="BG65" s="443">
        <f t="shared" si="142"/>
        <v>0</v>
      </c>
      <c r="BH65" s="443">
        <f t="shared" si="143"/>
        <v>0</v>
      </c>
      <c r="BI65" s="443">
        <f t="shared" si="144"/>
        <v>0</v>
      </c>
      <c r="BJ65" s="443">
        <f t="shared" si="145"/>
        <v>0</v>
      </c>
      <c r="BK65" s="443">
        <f t="shared" si="146"/>
        <v>0</v>
      </c>
      <c r="BM65" s="443">
        <f t="shared" si="147"/>
        <v>0</v>
      </c>
      <c r="BN65" s="443">
        <f t="shared" si="148"/>
        <v>0</v>
      </c>
      <c r="BO65" s="443">
        <f t="shared" si="149"/>
        <v>0</v>
      </c>
      <c r="BP65" s="443">
        <f t="shared" si="150"/>
        <v>0</v>
      </c>
      <c r="BQ65" s="443">
        <f t="shared" si="151"/>
        <v>0</v>
      </c>
      <c r="BR65" s="443">
        <f t="shared" si="152"/>
        <v>0</v>
      </c>
      <c r="BT65" s="440">
        <f t="shared" si="153"/>
        <v>0</v>
      </c>
      <c r="BU65" s="440">
        <f t="shared" si="154"/>
        <v>24.257339999999999</v>
      </c>
    </row>
    <row r="66" spans="1:73" s="442" customFormat="1" x14ac:dyDescent="0.25">
      <c r="A66" s="779" t="s">
        <v>143</v>
      </c>
      <c r="B66" s="433" t="str">
        <f>'ADU-31'!$B$7</f>
        <v>Transport</v>
      </c>
      <c r="C66" s="433" t="str">
        <f>'ADU-31'!$B$8</f>
        <v>Covoiturage</v>
      </c>
      <c r="D66" s="433" t="str">
        <f>'ADU-31'!$C$4</f>
        <v>Transport</v>
      </c>
      <c r="E66" s="433" t="str">
        <f>'ADU-31'!$B$11</f>
        <v>Citoyen</v>
      </c>
      <c r="F66" s="433" t="str">
        <f>'ADU-31'!$B$5</f>
        <v>Pas de financement</v>
      </c>
      <c r="G66" s="434">
        <f>'ADU-31'!$B$16</f>
        <v>0</v>
      </c>
      <c r="H66" s="433" t="str">
        <f>'ADU-31'!$B$6</f>
        <v>Pas de subside</v>
      </c>
      <c r="I66" s="434">
        <f>'ADU-31'!$B$17</f>
        <v>0</v>
      </c>
      <c r="J66" s="434">
        <f>'ADU-31'!$B$20</f>
        <v>371520</v>
      </c>
      <c r="K66" s="434">
        <f>'ADU-31'!$B$21</f>
        <v>0</v>
      </c>
      <c r="L66" s="435">
        <f>'ADU-31'!$B$23</f>
        <v>0</v>
      </c>
      <c r="M66" s="436">
        <f>'ADU-31'!$B$24</f>
        <v>606.04200000000003</v>
      </c>
      <c r="N66" s="437">
        <f t="shared" si="0"/>
        <v>0</v>
      </c>
      <c r="O66" s="438" t="str">
        <f>'ADU-31'!$E$5</f>
        <v>En cours</v>
      </c>
      <c r="P66" s="439">
        <f>'ADU-31'!$B$15</f>
        <v>2020</v>
      </c>
      <c r="Q66" s="656" t="str">
        <f t="shared" si="50"/>
        <v/>
      </c>
      <c r="R66" s="440">
        <f t="shared" si="106"/>
        <v>0</v>
      </c>
      <c r="S66" s="440">
        <f t="shared" si="107"/>
        <v>0</v>
      </c>
      <c r="T66" s="440">
        <f t="shared" si="108"/>
        <v>0</v>
      </c>
      <c r="U66" s="440">
        <f t="shared" si="109"/>
        <v>0</v>
      </c>
      <c r="V66" s="440">
        <f t="shared" si="110"/>
        <v>0</v>
      </c>
      <c r="W66" s="441">
        <f t="shared" si="111"/>
        <v>0</v>
      </c>
      <c r="X66" s="440">
        <f t="shared" si="112"/>
        <v>0</v>
      </c>
      <c r="Z66" s="443">
        <f t="shared" si="113"/>
        <v>0</v>
      </c>
      <c r="AA66" s="443">
        <f t="shared" si="114"/>
        <v>0</v>
      </c>
      <c r="AB66" s="443">
        <f t="shared" si="115"/>
        <v>0</v>
      </c>
      <c r="AC66" s="443">
        <f t="shared" si="116"/>
        <v>0</v>
      </c>
      <c r="AD66" s="443">
        <f t="shared" si="117"/>
        <v>0</v>
      </c>
      <c r="AE66" s="443">
        <f t="shared" si="118"/>
        <v>0</v>
      </c>
      <c r="AF66" s="443">
        <f t="shared" si="119"/>
        <v>0</v>
      </c>
      <c r="AH66" s="443">
        <f t="shared" si="120"/>
        <v>0</v>
      </c>
      <c r="AI66" s="443">
        <f t="shared" si="121"/>
        <v>0</v>
      </c>
      <c r="AJ66" s="443">
        <f t="shared" si="122"/>
        <v>0</v>
      </c>
      <c r="AK66" s="443">
        <f t="shared" si="123"/>
        <v>0</v>
      </c>
      <c r="AL66" s="443">
        <f t="shared" si="124"/>
        <v>0</v>
      </c>
      <c r="AM66" s="443">
        <f t="shared" si="125"/>
        <v>0</v>
      </c>
      <c r="AN66" s="443">
        <f t="shared" si="126"/>
        <v>0</v>
      </c>
      <c r="AP66" s="443">
        <f t="shared" si="127"/>
        <v>0</v>
      </c>
      <c r="AQ66" s="443">
        <f t="shared" si="128"/>
        <v>0</v>
      </c>
      <c r="AR66" s="443">
        <f t="shared" si="129"/>
        <v>0</v>
      </c>
      <c r="AS66" s="443">
        <f t="shared" si="130"/>
        <v>0</v>
      </c>
      <c r="AT66" s="443">
        <f t="shared" si="131"/>
        <v>0</v>
      </c>
      <c r="AU66" s="443">
        <f t="shared" si="132"/>
        <v>0</v>
      </c>
      <c r="AV66" s="443">
        <f t="shared" si="133"/>
        <v>0</v>
      </c>
      <c r="AX66" s="443">
        <f t="shared" si="134"/>
        <v>0</v>
      </c>
      <c r="AY66" s="443">
        <f t="shared" si="135"/>
        <v>0</v>
      </c>
      <c r="AZ66" s="443">
        <f t="shared" si="136"/>
        <v>0</v>
      </c>
      <c r="BA66" s="443">
        <f t="shared" si="137"/>
        <v>0</v>
      </c>
      <c r="BB66" s="443">
        <f t="shared" si="138"/>
        <v>0</v>
      </c>
      <c r="BC66" s="443">
        <f t="shared" si="139"/>
        <v>0</v>
      </c>
      <c r="BD66" s="443">
        <f t="shared" si="140"/>
        <v>0</v>
      </c>
      <c r="BF66" s="443">
        <f t="shared" si="141"/>
        <v>0</v>
      </c>
      <c r="BG66" s="443">
        <f t="shared" si="142"/>
        <v>0</v>
      </c>
      <c r="BH66" s="443">
        <f t="shared" si="143"/>
        <v>0</v>
      </c>
      <c r="BI66" s="443">
        <f t="shared" si="144"/>
        <v>0</v>
      </c>
      <c r="BJ66" s="443">
        <f t="shared" si="145"/>
        <v>0</v>
      </c>
      <c r="BK66" s="443">
        <f t="shared" si="146"/>
        <v>0</v>
      </c>
      <c r="BM66" s="443">
        <f t="shared" si="147"/>
        <v>0</v>
      </c>
      <c r="BN66" s="443">
        <f t="shared" si="148"/>
        <v>0</v>
      </c>
      <c r="BO66" s="443">
        <f t="shared" si="149"/>
        <v>0</v>
      </c>
      <c r="BP66" s="443">
        <f t="shared" si="150"/>
        <v>0</v>
      </c>
      <c r="BQ66" s="443">
        <f t="shared" si="151"/>
        <v>0</v>
      </c>
      <c r="BR66" s="443">
        <f t="shared" si="152"/>
        <v>0</v>
      </c>
      <c r="BT66" s="440">
        <f t="shared" si="153"/>
        <v>0</v>
      </c>
      <c r="BU66" s="440">
        <f t="shared" si="154"/>
        <v>0</v>
      </c>
    </row>
    <row r="67" spans="1:73" s="442" customFormat="1" x14ac:dyDescent="0.25">
      <c r="A67" s="780" t="s">
        <v>716</v>
      </c>
      <c r="B67" s="433" t="str">
        <f>'ADU-311'!$B$7</f>
        <v>Transport</v>
      </c>
      <c r="C67" s="433" t="str">
        <f>'ADU-311'!$B$8</f>
        <v>Parkings pour Covoiturage</v>
      </c>
      <c r="D67" s="433" t="str">
        <f>'ADU-311'!$C$4</f>
        <v>Transport</v>
      </c>
      <c r="E67" s="433" t="str">
        <f>'ADU-311'!$B$11</f>
        <v>AC HABAY</v>
      </c>
      <c r="F67" s="433" t="str">
        <f>'ADU-311'!$B$5</f>
        <v>Fonds propres</v>
      </c>
      <c r="G67" s="597">
        <f>'ADU-311'!$B$16</f>
        <v>50000</v>
      </c>
      <c r="H67" s="433" t="str">
        <f>'ADU-311'!$B$6</f>
        <v>Pas de subside</v>
      </c>
      <c r="I67" s="434">
        <f>'ADU-311'!$B$17</f>
        <v>0</v>
      </c>
      <c r="J67" s="434">
        <f>'ADU-311'!$B$20</f>
        <v>1</v>
      </c>
      <c r="K67" s="434">
        <f>'ADU-311'!$B$21</f>
        <v>0</v>
      </c>
      <c r="L67" s="435">
        <f>'ADU-311'!$B$23</f>
        <v>50000</v>
      </c>
      <c r="M67" s="436">
        <f>'ADU-311'!$B$24</f>
        <v>0</v>
      </c>
      <c r="N67" s="437">
        <f>IF(G67=0,0,M67/(G67-I67)*1000)</f>
        <v>0</v>
      </c>
      <c r="O67" s="438" t="str">
        <f>'ADU-311'!$E$5</f>
        <v>A faire</v>
      </c>
      <c r="P67" s="439">
        <f>'ADU-311'!$B$15</f>
        <v>2020</v>
      </c>
      <c r="Q67" s="656" t="str">
        <f t="shared" si="50"/>
        <v/>
      </c>
      <c r="R67" s="440">
        <f t="shared" si="106"/>
        <v>0</v>
      </c>
      <c r="S67" s="440">
        <f t="shared" si="107"/>
        <v>0</v>
      </c>
      <c r="T67" s="440">
        <f t="shared" si="108"/>
        <v>0</v>
      </c>
      <c r="U67" s="440">
        <f t="shared" si="109"/>
        <v>0</v>
      </c>
      <c r="V67" s="440">
        <f t="shared" si="110"/>
        <v>0</v>
      </c>
      <c r="W67" s="441">
        <f t="shared" si="111"/>
        <v>0</v>
      </c>
      <c r="X67" s="440">
        <f t="shared" si="112"/>
        <v>0</v>
      </c>
      <c r="Z67" s="443">
        <f t="shared" si="113"/>
        <v>0</v>
      </c>
      <c r="AA67" s="443">
        <f t="shared" si="114"/>
        <v>0</v>
      </c>
      <c r="AB67" s="443">
        <f t="shared" si="115"/>
        <v>0</v>
      </c>
      <c r="AC67" s="443">
        <f t="shared" si="116"/>
        <v>0</v>
      </c>
      <c r="AD67" s="443">
        <f t="shared" si="117"/>
        <v>0</v>
      </c>
      <c r="AE67" s="443">
        <f t="shared" si="118"/>
        <v>0</v>
      </c>
      <c r="AF67" s="443">
        <f t="shared" si="119"/>
        <v>0</v>
      </c>
      <c r="AH67" s="443">
        <f t="shared" si="120"/>
        <v>0</v>
      </c>
      <c r="AI67" s="443">
        <f t="shared" si="121"/>
        <v>0</v>
      </c>
      <c r="AJ67" s="443">
        <f t="shared" si="122"/>
        <v>0</v>
      </c>
      <c r="AK67" s="443">
        <f t="shared" si="123"/>
        <v>0</v>
      </c>
      <c r="AL67" s="443">
        <f t="shared" si="124"/>
        <v>0</v>
      </c>
      <c r="AM67" s="443">
        <f t="shared" si="125"/>
        <v>0</v>
      </c>
      <c r="AN67" s="443">
        <f t="shared" si="126"/>
        <v>0</v>
      </c>
      <c r="AP67" s="443">
        <f t="shared" si="127"/>
        <v>0</v>
      </c>
      <c r="AQ67" s="443">
        <f t="shared" si="128"/>
        <v>0</v>
      </c>
      <c r="AR67" s="443">
        <f t="shared" si="129"/>
        <v>0</v>
      </c>
      <c r="AS67" s="443">
        <f t="shared" si="130"/>
        <v>0</v>
      </c>
      <c r="AT67" s="443">
        <f t="shared" si="131"/>
        <v>0</v>
      </c>
      <c r="AU67" s="443">
        <f t="shared" si="132"/>
        <v>0</v>
      </c>
      <c r="AV67" s="443">
        <f t="shared" si="133"/>
        <v>0</v>
      </c>
      <c r="AX67" s="443">
        <f t="shared" si="134"/>
        <v>0</v>
      </c>
      <c r="AY67" s="443">
        <f t="shared" si="135"/>
        <v>0</v>
      </c>
      <c r="AZ67" s="443">
        <f t="shared" si="136"/>
        <v>0</v>
      </c>
      <c r="BA67" s="443">
        <f t="shared" si="137"/>
        <v>0</v>
      </c>
      <c r="BB67" s="443">
        <f t="shared" si="138"/>
        <v>0</v>
      </c>
      <c r="BC67" s="443">
        <f t="shared" si="139"/>
        <v>0</v>
      </c>
      <c r="BD67" s="443">
        <f t="shared" si="140"/>
        <v>0</v>
      </c>
      <c r="BF67" s="443">
        <f t="shared" si="141"/>
        <v>0</v>
      </c>
      <c r="BG67" s="443">
        <f t="shared" si="142"/>
        <v>0</v>
      </c>
      <c r="BH67" s="443">
        <f t="shared" si="143"/>
        <v>0</v>
      </c>
      <c r="BI67" s="443">
        <f t="shared" si="144"/>
        <v>0</v>
      </c>
      <c r="BJ67" s="443">
        <f t="shared" si="145"/>
        <v>0</v>
      </c>
      <c r="BK67" s="443">
        <f t="shared" si="146"/>
        <v>0</v>
      </c>
      <c r="BM67" s="443">
        <f t="shared" si="147"/>
        <v>0</v>
      </c>
      <c r="BN67" s="443">
        <f t="shared" si="148"/>
        <v>0</v>
      </c>
      <c r="BO67" s="443">
        <f t="shared" si="149"/>
        <v>0</v>
      </c>
      <c r="BP67" s="443">
        <f t="shared" si="150"/>
        <v>0</v>
      </c>
      <c r="BQ67" s="443">
        <f t="shared" si="151"/>
        <v>0</v>
      </c>
      <c r="BR67" s="443">
        <f t="shared" si="152"/>
        <v>0</v>
      </c>
      <c r="BT67" s="440">
        <f t="shared" si="153"/>
        <v>0</v>
      </c>
      <c r="BU67" s="440">
        <f t="shared" si="154"/>
        <v>0</v>
      </c>
    </row>
    <row r="68" spans="1:73" s="442" customFormat="1" x14ac:dyDescent="0.25">
      <c r="A68" s="779" t="s">
        <v>144</v>
      </c>
      <c r="B68" s="433" t="str">
        <f>'ADU-32'!$B$7</f>
        <v>Véhicules de service</v>
      </c>
      <c r="C68" s="433" t="str">
        <f>'ADU-32'!$B$8</f>
        <v>Remplacement de 6 véhicules de service par des voitures électriques</v>
      </c>
      <c r="D68" s="433" t="str">
        <f>'ADU-32'!$C$4</f>
        <v>Transport</v>
      </c>
      <c r="E68" s="433" t="str">
        <f>'ADU-32'!$B$11</f>
        <v>AC HABAY</v>
      </c>
      <c r="F68" s="433" t="str">
        <f>'ADU-32'!$B$5</f>
        <v>Fonds propres</v>
      </c>
      <c r="G68" s="597">
        <f>'ADU-32'!$B$16</f>
        <v>180000</v>
      </c>
      <c r="H68" s="433" t="str">
        <f>'ADU-32'!$B$6</f>
        <v>Pas de subside</v>
      </c>
      <c r="I68" s="434">
        <f>'ADU-32'!$B$17</f>
        <v>0</v>
      </c>
      <c r="J68" s="434">
        <f>'ADU-32'!$B$20</f>
        <v>6485.3717617659313</v>
      </c>
      <c r="K68" s="434">
        <f>'ADU-32'!$B$21</f>
        <v>0</v>
      </c>
      <c r="L68" s="435">
        <f>'ADU-32'!$B$23</f>
        <v>9.2515899171310316</v>
      </c>
      <c r="M68" s="436">
        <f>'ADU-32'!$B$24</f>
        <v>12.024539265306124</v>
      </c>
      <c r="N68" s="437">
        <f t="shared" ref="N68:N88" si="157">IF(G68=0,0,M68/(G68-I68)*1000)</f>
        <v>6.6802995918367358E-2</v>
      </c>
      <c r="O68" s="438" t="str">
        <f>'ADU-32'!$E$5</f>
        <v>En cours</v>
      </c>
      <c r="P68" s="439">
        <f>'ADU-32'!$B$15</f>
        <v>2020</v>
      </c>
      <c r="Q68" s="656" t="str">
        <f t="shared" si="50"/>
        <v/>
      </c>
      <c r="R68" s="440">
        <f t="shared" si="106"/>
        <v>0</v>
      </c>
      <c r="S68" s="440">
        <f t="shared" si="107"/>
        <v>0</v>
      </c>
      <c r="T68" s="440">
        <f t="shared" si="108"/>
        <v>0</v>
      </c>
      <c r="U68" s="440">
        <f t="shared" si="109"/>
        <v>0</v>
      </c>
      <c r="V68" s="440">
        <f t="shared" si="110"/>
        <v>0</v>
      </c>
      <c r="W68" s="441">
        <f t="shared" si="111"/>
        <v>0</v>
      </c>
      <c r="X68" s="440">
        <f t="shared" si="112"/>
        <v>0</v>
      </c>
      <c r="Z68" s="443">
        <f t="shared" si="113"/>
        <v>0</v>
      </c>
      <c r="AA68" s="443">
        <f t="shared" si="114"/>
        <v>0</v>
      </c>
      <c r="AB68" s="443">
        <f t="shared" si="115"/>
        <v>0</v>
      </c>
      <c r="AC68" s="443">
        <f t="shared" si="116"/>
        <v>0</v>
      </c>
      <c r="AD68" s="443">
        <f t="shared" si="117"/>
        <v>0</v>
      </c>
      <c r="AE68" s="443">
        <f t="shared" si="118"/>
        <v>0</v>
      </c>
      <c r="AF68" s="443">
        <f t="shared" si="119"/>
        <v>0</v>
      </c>
      <c r="AH68" s="443">
        <f t="shared" si="120"/>
        <v>0</v>
      </c>
      <c r="AI68" s="443">
        <f t="shared" si="121"/>
        <v>0</v>
      </c>
      <c r="AJ68" s="443">
        <f t="shared" si="122"/>
        <v>0</v>
      </c>
      <c r="AK68" s="443">
        <f t="shared" si="123"/>
        <v>0</v>
      </c>
      <c r="AL68" s="443">
        <f t="shared" si="124"/>
        <v>0</v>
      </c>
      <c r="AM68" s="443">
        <f t="shared" si="125"/>
        <v>0</v>
      </c>
      <c r="AN68" s="443">
        <f t="shared" si="126"/>
        <v>0</v>
      </c>
      <c r="AP68" s="443">
        <f t="shared" si="127"/>
        <v>0</v>
      </c>
      <c r="AQ68" s="443">
        <f t="shared" si="128"/>
        <v>0</v>
      </c>
      <c r="AR68" s="443">
        <f t="shared" si="129"/>
        <v>0</v>
      </c>
      <c r="AS68" s="443">
        <f t="shared" si="130"/>
        <v>0</v>
      </c>
      <c r="AT68" s="443">
        <f t="shared" si="131"/>
        <v>0</v>
      </c>
      <c r="AU68" s="443">
        <f t="shared" si="132"/>
        <v>0</v>
      </c>
      <c r="AV68" s="443">
        <f t="shared" si="133"/>
        <v>0</v>
      </c>
      <c r="AX68" s="443">
        <f t="shared" si="134"/>
        <v>0</v>
      </c>
      <c r="AY68" s="443">
        <f t="shared" si="135"/>
        <v>0</v>
      </c>
      <c r="AZ68" s="443">
        <f t="shared" si="136"/>
        <v>0</v>
      </c>
      <c r="BA68" s="443">
        <f t="shared" si="137"/>
        <v>0</v>
      </c>
      <c r="BB68" s="443">
        <f t="shared" si="138"/>
        <v>0</v>
      </c>
      <c r="BC68" s="443">
        <f t="shared" si="139"/>
        <v>0</v>
      </c>
      <c r="BD68" s="443">
        <f t="shared" si="140"/>
        <v>0</v>
      </c>
      <c r="BF68" s="443">
        <f t="shared" si="141"/>
        <v>0</v>
      </c>
      <c r="BG68" s="443">
        <f t="shared" si="142"/>
        <v>0</v>
      </c>
      <c r="BH68" s="443">
        <f t="shared" si="143"/>
        <v>0</v>
      </c>
      <c r="BI68" s="443">
        <f t="shared" si="144"/>
        <v>0</v>
      </c>
      <c r="BJ68" s="443">
        <f t="shared" si="145"/>
        <v>0</v>
      </c>
      <c r="BK68" s="443">
        <f t="shared" si="146"/>
        <v>0</v>
      </c>
      <c r="BM68" s="443">
        <f t="shared" si="147"/>
        <v>0</v>
      </c>
      <c r="BN68" s="443">
        <f t="shared" si="148"/>
        <v>0</v>
      </c>
      <c r="BO68" s="443">
        <f t="shared" si="149"/>
        <v>0</v>
      </c>
      <c r="BP68" s="443">
        <f t="shared" si="150"/>
        <v>0</v>
      </c>
      <c r="BQ68" s="443">
        <f t="shared" si="151"/>
        <v>0</v>
      </c>
      <c r="BR68" s="443">
        <f t="shared" si="152"/>
        <v>0</v>
      </c>
      <c r="BT68" s="440">
        <f t="shared" si="153"/>
        <v>0</v>
      </c>
      <c r="BU68" s="440">
        <f t="shared" si="154"/>
        <v>0</v>
      </c>
    </row>
    <row r="69" spans="1:73" s="442" customFormat="1" x14ac:dyDescent="0.25">
      <c r="A69" s="779" t="s">
        <v>146</v>
      </c>
      <c r="B69" s="433" t="str">
        <f>'ADU-33'!$B$7</f>
        <v>Voitures électriques</v>
      </c>
      <c r="C69" s="433" t="str">
        <f>'ADU-33'!$B$8</f>
        <v>Remplacement de 60 véhicules privés par des voitures électriques</v>
      </c>
      <c r="D69" s="433" t="str">
        <f>'ADU-33'!$C$4</f>
        <v>Transport</v>
      </c>
      <c r="E69" s="433" t="str">
        <f>'ADU-33'!$B$11</f>
        <v>Citoyen</v>
      </c>
      <c r="F69" s="433" t="str">
        <f>'ADU-33'!$B$5</f>
        <v>Prêt bancaire</v>
      </c>
      <c r="G69" s="434">
        <f>'ADU-33'!$B$16</f>
        <v>1500000</v>
      </c>
      <c r="H69" s="433" t="str">
        <f>'ADU-33'!$B$6</f>
        <v>Pas de subside</v>
      </c>
      <c r="I69" s="434">
        <f>'ADU-33'!$B$17</f>
        <v>0</v>
      </c>
      <c r="J69" s="434">
        <f>'ADU-33'!$B$20</f>
        <v>64853.717617659306</v>
      </c>
      <c r="K69" s="434">
        <f>'ADU-33'!$B$21</f>
        <v>0</v>
      </c>
      <c r="L69" s="435">
        <f>'ADU-33'!$B$23</f>
        <v>4.6257949585655158</v>
      </c>
      <c r="M69" s="436">
        <f>'ADU-33'!$B$24</f>
        <v>120.24539265306122</v>
      </c>
      <c r="N69" s="437">
        <f t="shared" si="157"/>
        <v>8.0163595102040811E-2</v>
      </c>
      <c r="O69" s="438" t="str">
        <f>'ADU-33'!$E$5</f>
        <v>En cours</v>
      </c>
      <c r="P69" s="439">
        <f>'ADU-33'!$B$15</f>
        <v>2020</v>
      </c>
      <c r="Q69" s="656" t="str">
        <f t="shared" si="50"/>
        <v/>
      </c>
      <c r="R69" s="440">
        <f t="shared" ref="R69:R89" si="158">IF((O69="Terminé")*AND(D69="Territoire"),M69,0)</f>
        <v>0</v>
      </c>
      <c r="S69" s="440">
        <f t="shared" ref="S69:S89" si="159">IF((O69="Terminé")*AND(D69="Agriculture"),M69,0)</f>
        <v>0</v>
      </c>
      <c r="T69" s="440">
        <f t="shared" ref="T69:T89" si="160">IF((O69="Terminé")*AND(D69="Industrie"), M69,0)</f>
        <v>0</v>
      </c>
      <c r="U69" s="440">
        <f t="shared" ref="U69:U89" si="161">IF((O69="Terminé")*AND(D69="Logement"),M69,0)</f>
        <v>0</v>
      </c>
      <c r="V69" s="440">
        <f t="shared" ref="V69:V89" si="162">IF((O69="Terminé")*AND(D69="Tertiaire"),M69,0)</f>
        <v>0</v>
      </c>
      <c r="W69" s="441">
        <f t="shared" ref="W69:W89" si="163">IF((O69="Terminé")*AND(D69="Transport"),M69,0)</f>
        <v>0</v>
      </c>
      <c r="X69" s="440">
        <f t="shared" ref="X69:X89" si="164">IF((O69="Terminé")*AND(D69="Communal"),M69,0)</f>
        <v>0</v>
      </c>
      <c r="Z69" s="443">
        <f t="shared" ref="Z69:Z89" si="165">IF((O69="Terminé")*AND(D69="Territoire"),G69,0)</f>
        <v>0</v>
      </c>
      <c r="AA69" s="443">
        <f t="shared" ref="AA69:AA89" si="166">IF((O69="Terminé")*AND(D69="Agriculture"),G69,0)</f>
        <v>0</v>
      </c>
      <c r="AB69" s="443">
        <f t="shared" ref="AB69:AB89" si="167">IF((O69="Terminé")*AND(D69="Industrie"), G69,0)</f>
        <v>0</v>
      </c>
      <c r="AC69" s="443">
        <f t="shared" ref="AC69:AC89" si="168">IF((O69="Terminé")*AND(D69="Logement"), G69,0)</f>
        <v>0</v>
      </c>
      <c r="AD69" s="443">
        <f t="shared" ref="AD69:AD89" si="169">IF((O69="Terminé")*AND(D69="Tertiaire"),G69,0)</f>
        <v>0</v>
      </c>
      <c r="AE69" s="443">
        <f t="shared" ref="AE69:AE89" si="170">IF((O69="Terminé")*AND(D69="Transport"),G69,0)</f>
        <v>0</v>
      </c>
      <c r="AF69" s="443">
        <f t="shared" ref="AF69:AF89" si="171">IF((O69="Terminé")*AND(D69="Communal"),G69,0)</f>
        <v>0</v>
      </c>
      <c r="AH69" s="443">
        <f t="shared" ref="AH69:AH89" si="172">IF((O69="Terminé")*AND(D69="Territoire"),I69,0)</f>
        <v>0</v>
      </c>
      <c r="AI69" s="443">
        <f t="shared" ref="AI69:AI89" si="173">IF((O69="Terminé")*AND(D69="Agriculture"),I69,0)</f>
        <v>0</v>
      </c>
      <c r="AJ69" s="443">
        <f t="shared" ref="AJ69:AJ89" si="174">IF((O69="Terminé")*AND(D69="Industrie"), I69,0)</f>
        <v>0</v>
      </c>
      <c r="AK69" s="443">
        <f t="shared" ref="AK69:AK89" si="175">IF((O69="Terminé")*AND(D69="Logement"), I69,0)</f>
        <v>0</v>
      </c>
      <c r="AL69" s="443">
        <f t="shared" ref="AL69:AL89" si="176">IF((O69="Terminé")*AND(D69="Tertiaire"),I69,0)</f>
        <v>0</v>
      </c>
      <c r="AM69" s="443">
        <f t="shared" ref="AM69:AM89" si="177">IF((O69="Terminé")*AND(D69="Transport"),I69,0)</f>
        <v>0</v>
      </c>
      <c r="AN69" s="443">
        <f t="shared" ref="AN69:AN89" si="178">IF((O69="Terminé")*AND(D69="Communal"),I69,0)</f>
        <v>0</v>
      </c>
      <c r="AP69" s="443">
        <f t="shared" ref="AP69:AP89" si="179">IF((O69="Terminé")*AND(D69="Territoire"),J69,0)</f>
        <v>0</v>
      </c>
      <c r="AQ69" s="443">
        <f t="shared" ref="AQ69:AQ89" si="180">IF((O69="Terminé")*AND(D69="Agriculture"),J69,0)</f>
        <v>0</v>
      </c>
      <c r="AR69" s="443">
        <f t="shared" ref="AR69:AR89" si="181">IF((O69="Terminé")*AND(D69="Industrie"), J69,0)</f>
        <v>0</v>
      </c>
      <c r="AS69" s="443">
        <f t="shared" ref="AS69:AS89" si="182">IF((O69="Terminé")*AND(D69="Logement"), J69,0)</f>
        <v>0</v>
      </c>
      <c r="AT69" s="443">
        <f t="shared" ref="AT69:AT89" si="183">IF((O69="Terminé")*AND(D69="Tertiaire"),J69,0)</f>
        <v>0</v>
      </c>
      <c r="AU69" s="443">
        <f t="shared" ref="AU69:AU89" si="184">IF((O69="Terminé")*AND(D69="Transport"),J69,0)</f>
        <v>0</v>
      </c>
      <c r="AV69" s="443">
        <f t="shared" ref="AV69:AV89" si="185">IF((O69="Terminé")*AND(D69="Communal"),J69,0)</f>
        <v>0</v>
      </c>
      <c r="AX69" s="443">
        <f t="shared" ref="AX69:AX89" si="186">IF((O69="Terminé")*AND(D69="Territoire"),K69,0)</f>
        <v>0</v>
      </c>
      <c r="AY69" s="443">
        <f t="shared" ref="AY69:AY89" si="187">IF((O69="Terminé")*AND(D69="Agriculture"),K69,0)</f>
        <v>0</v>
      </c>
      <c r="AZ69" s="443">
        <f t="shared" ref="AZ69:AZ89" si="188">IF((O69="Terminé")*AND(D69="Industrie"), K69,0)</f>
        <v>0</v>
      </c>
      <c r="BA69" s="443">
        <f t="shared" ref="BA69:BA89" si="189">IF((O69="Terminé")*AND(D69="Logement"), K69,0)</f>
        <v>0</v>
      </c>
      <c r="BB69" s="443">
        <f t="shared" ref="BB69:BB89" si="190">IF((O69="Terminé")*AND(D69="Tertiaire"),K69,0)</f>
        <v>0</v>
      </c>
      <c r="BC69" s="443">
        <f t="shared" ref="BC69:BC89" si="191">IF((O69="Terminé")*AND(D69="Transport"),K69,0)</f>
        <v>0</v>
      </c>
      <c r="BD69" s="443">
        <f t="shared" ref="BD69:BD89" si="192">IF((O69="Terminé")*AND(D69="Communal"),K69,0)</f>
        <v>0</v>
      </c>
      <c r="BF69" s="443">
        <f t="shared" ref="BF69:BF89" si="193">IF((O69="Terminé")*AND(E69="Agriculture"),G69,0)</f>
        <v>0</v>
      </c>
      <c r="BG69" s="443">
        <f t="shared" ref="BG69:BG89" si="194">IF((O69="Terminé")*AND(E69="Industrie"),G69,0)</f>
        <v>0</v>
      </c>
      <c r="BH69" s="443">
        <f t="shared" ref="BH69:BH89" si="195">IF((O69="Terminé")*AND(E69="Citoyen"), G69,0)</f>
        <v>0</v>
      </c>
      <c r="BI69" s="443">
        <f t="shared" ref="BI69:BI89" si="196">IF((O69="Terminé")*AND(E69="IDELUX"), G69,0)</f>
        <v>0</v>
      </c>
      <c r="BJ69" s="443">
        <f t="shared" ref="BJ69:BJ89" si="197">IF((O69="Terminé")*AND(E69="AC HABAY"),G69,0)</f>
        <v>0</v>
      </c>
      <c r="BK69" s="443">
        <f t="shared" ref="BK69:BK89" si="198">IF((O69="Terminé")*AND(E69="Tertiaire"),G69,0)</f>
        <v>0</v>
      </c>
      <c r="BM69" s="443">
        <f t="shared" ref="BM69:BM89" si="199">IF((O69="Terminé")*AND(E69="Agriculture"),I69,0)</f>
        <v>0</v>
      </c>
      <c r="BN69" s="443">
        <f t="shared" ref="BN69:BN89" si="200">IF((O69="Terminé")*AND(E69="Industrie"),I69,0)</f>
        <v>0</v>
      </c>
      <c r="BO69" s="443">
        <f t="shared" ref="BO69:BO89" si="201">IF((O69="Terminé")*AND(E69="Citoyen"), I69,0)</f>
        <v>0</v>
      </c>
      <c r="BP69" s="443">
        <f t="shared" ref="BP69:BP89" si="202">IF((O69="Terminé")*AND(E69="IDELUX"), I69,0)</f>
        <v>0</v>
      </c>
      <c r="BQ69" s="443">
        <f t="shared" ref="BQ69:BQ89" si="203">IF((O69="Terminé")*AND(E69="AC HABAY"),I69,0)</f>
        <v>0</v>
      </c>
      <c r="BR69" s="443">
        <f t="shared" ref="BR69:BR89" si="204">IF((O69="Terminé")*AND(E69="Tertiaire"),I69,0)</f>
        <v>0</v>
      </c>
      <c r="BT69" s="440">
        <f t="shared" ref="BT69:BT89" si="205">IF((O69="Terminé"),M69,0)</f>
        <v>0</v>
      </c>
      <c r="BU69" s="440">
        <f t="shared" ref="BU69:BU89" si="206">IF((O69="A faire"),M69,0)</f>
        <v>0</v>
      </c>
    </row>
    <row r="70" spans="1:73" s="442" customFormat="1" x14ac:dyDescent="0.25">
      <c r="A70" s="677" t="s">
        <v>862</v>
      </c>
      <c r="B70" s="433" t="str">
        <f>'ADU-331'!$B$7</f>
        <v>Ménages - Mobilité</v>
      </c>
      <c r="C70" s="433" t="str">
        <f>'ADU-331'!$B$8</f>
        <v>Véhicules  hybrides</v>
      </c>
      <c r="D70" s="433" t="str">
        <f>'ADU-331'!$C$4</f>
        <v>Transport</v>
      </c>
      <c r="E70" s="433" t="str">
        <f>'ADU-331'!$B$11</f>
        <v>Citoyen</v>
      </c>
      <c r="F70" s="433" t="str">
        <f>'ADU-331'!$B$5</f>
        <v>Prêt bancaire</v>
      </c>
      <c r="G70" s="434">
        <f>'ADU-331'!$B$16</f>
        <v>568630.16870924423</v>
      </c>
      <c r="H70" s="433" t="str">
        <f>'ADU-331'!$B$6</f>
        <v>Pas de subside</v>
      </c>
      <c r="I70" s="434">
        <f>'ADU-331'!$B$17</f>
        <v>0</v>
      </c>
      <c r="J70" s="434">
        <f>'ADU-331'!$B$20</f>
        <v>27506.098294685278</v>
      </c>
      <c r="K70" s="434">
        <f>'ADU-331'!$B$21</f>
        <v>0</v>
      </c>
      <c r="L70" s="435">
        <f>'ADU-331'!$B$23</f>
        <v>2.2969862602719839</v>
      </c>
      <c r="M70" s="436">
        <f>'ADU-331'!$B$24</f>
        <v>19.157576856440965</v>
      </c>
      <c r="N70" s="437">
        <f t="shared" ref="N70:N71" si="207">IF(G70=0,0,M70/(G70-I70)*1000)</f>
        <v>3.3690749999999992E-2</v>
      </c>
      <c r="O70" s="438" t="str">
        <f>'ADU-331'!$E$5</f>
        <v>Terminé</v>
      </c>
      <c r="P70" s="439">
        <f>'ADU-331'!$B$15</f>
        <v>2016</v>
      </c>
      <c r="Q70" s="656">
        <f t="shared" ref="Q70:Q71" si="208">IF(O70="terminé", M70,"")</f>
        <v>19.157576856440965</v>
      </c>
      <c r="R70" s="440">
        <f t="shared" si="158"/>
        <v>0</v>
      </c>
      <c r="S70" s="440">
        <f t="shared" si="159"/>
        <v>0</v>
      </c>
      <c r="T70" s="440">
        <f t="shared" si="160"/>
        <v>0</v>
      </c>
      <c r="U70" s="440">
        <f t="shared" si="161"/>
        <v>0</v>
      </c>
      <c r="V70" s="440">
        <f t="shared" si="162"/>
        <v>0</v>
      </c>
      <c r="W70" s="441">
        <f t="shared" si="163"/>
        <v>19.157576856440965</v>
      </c>
      <c r="X70" s="440">
        <f t="shared" si="164"/>
        <v>0</v>
      </c>
      <c r="Z70" s="443">
        <f t="shared" si="165"/>
        <v>0</v>
      </c>
      <c r="AA70" s="443">
        <f t="shared" si="166"/>
        <v>0</v>
      </c>
      <c r="AB70" s="443">
        <f t="shared" si="167"/>
        <v>0</v>
      </c>
      <c r="AC70" s="443">
        <f t="shared" si="168"/>
        <v>0</v>
      </c>
      <c r="AD70" s="443">
        <f t="shared" si="169"/>
        <v>0</v>
      </c>
      <c r="AE70" s="443">
        <f t="shared" si="170"/>
        <v>568630.16870924423</v>
      </c>
      <c r="AF70" s="443">
        <f t="shared" si="171"/>
        <v>0</v>
      </c>
      <c r="AH70" s="443">
        <f t="shared" si="172"/>
        <v>0</v>
      </c>
      <c r="AI70" s="443">
        <f t="shared" si="173"/>
        <v>0</v>
      </c>
      <c r="AJ70" s="443">
        <f t="shared" si="174"/>
        <v>0</v>
      </c>
      <c r="AK70" s="443">
        <f t="shared" si="175"/>
        <v>0</v>
      </c>
      <c r="AL70" s="443">
        <f t="shared" si="176"/>
        <v>0</v>
      </c>
      <c r="AM70" s="443">
        <f t="shared" si="177"/>
        <v>0</v>
      </c>
      <c r="AN70" s="443">
        <f t="shared" si="178"/>
        <v>0</v>
      </c>
      <c r="AP70" s="443">
        <f t="shared" si="179"/>
        <v>0</v>
      </c>
      <c r="AQ70" s="443">
        <f t="shared" si="180"/>
        <v>0</v>
      </c>
      <c r="AR70" s="443">
        <f t="shared" si="181"/>
        <v>0</v>
      </c>
      <c r="AS70" s="443">
        <f t="shared" si="182"/>
        <v>0</v>
      </c>
      <c r="AT70" s="443">
        <f t="shared" si="183"/>
        <v>0</v>
      </c>
      <c r="AU70" s="443">
        <f t="shared" si="184"/>
        <v>27506.098294685278</v>
      </c>
      <c r="AV70" s="443">
        <f t="shared" si="185"/>
        <v>0</v>
      </c>
      <c r="AX70" s="443">
        <f t="shared" si="186"/>
        <v>0</v>
      </c>
      <c r="AY70" s="443">
        <f t="shared" si="187"/>
        <v>0</v>
      </c>
      <c r="AZ70" s="443">
        <f t="shared" si="188"/>
        <v>0</v>
      </c>
      <c r="BA70" s="443">
        <f t="shared" si="189"/>
        <v>0</v>
      </c>
      <c r="BB70" s="443">
        <f t="shared" si="190"/>
        <v>0</v>
      </c>
      <c r="BC70" s="443">
        <f t="shared" si="191"/>
        <v>0</v>
      </c>
      <c r="BD70" s="443">
        <f t="shared" si="192"/>
        <v>0</v>
      </c>
      <c r="BF70" s="443">
        <f t="shared" si="193"/>
        <v>0</v>
      </c>
      <c r="BG70" s="443">
        <f t="shared" si="194"/>
        <v>0</v>
      </c>
      <c r="BH70" s="443">
        <f t="shared" si="195"/>
        <v>568630.16870924423</v>
      </c>
      <c r="BI70" s="443">
        <f t="shared" si="196"/>
        <v>0</v>
      </c>
      <c r="BJ70" s="443">
        <f t="shared" si="197"/>
        <v>0</v>
      </c>
      <c r="BK70" s="443">
        <f t="shared" si="198"/>
        <v>0</v>
      </c>
      <c r="BM70" s="443">
        <f t="shared" si="199"/>
        <v>0</v>
      </c>
      <c r="BN70" s="443">
        <f t="shared" si="200"/>
        <v>0</v>
      </c>
      <c r="BO70" s="443">
        <f t="shared" si="201"/>
        <v>0</v>
      </c>
      <c r="BP70" s="443">
        <f t="shared" si="202"/>
        <v>0</v>
      </c>
      <c r="BQ70" s="443">
        <f t="shared" si="203"/>
        <v>0</v>
      </c>
      <c r="BR70" s="443">
        <f t="shared" si="204"/>
        <v>0</v>
      </c>
      <c r="BT70" s="440">
        <f t="shared" si="205"/>
        <v>19.157576856440965</v>
      </c>
      <c r="BU70" s="440">
        <f t="shared" si="206"/>
        <v>0</v>
      </c>
    </row>
    <row r="71" spans="1:73" s="442" customFormat="1" x14ac:dyDescent="0.25">
      <c r="A71" s="677" t="s">
        <v>863</v>
      </c>
      <c r="B71" s="433" t="str">
        <f>'ADU-332'!$B$7</f>
        <v>Ménages - Mobilité</v>
      </c>
      <c r="C71" s="433" t="str">
        <f>'ADU-332'!$B$8</f>
        <v>Véhicules  hybrides</v>
      </c>
      <c r="D71" s="433" t="str">
        <f>'ADU-332'!$C$4</f>
        <v>Transport</v>
      </c>
      <c r="E71" s="433" t="str">
        <f>'ADU-332'!$B$11</f>
        <v>Citoyen</v>
      </c>
      <c r="F71" s="433" t="str">
        <f>'ADU-332'!$B$5</f>
        <v>Prêt bancaire</v>
      </c>
      <c r="G71" s="434">
        <f>'ADU-332'!$B$16</f>
        <v>1800000</v>
      </c>
      <c r="H71" s="433" t="str">
        <f>'ADU-332'!$B$6</f>
        <v>Pas de subside</v>
      </c>
      <c r="I71" s="434">
        <f>'ADU-332'!$B$17</f>
        <v>0</v>
      </c>
      <c r="J71" s="434">
        <f>'ADU-332'!$B$20</f>
        <v>87070.612244897959</v>
      </c>
      <c r="K71" s="434">
        <f>'ADU-332'!$B$21</f>
        <v>0</v>
      </c>
      <c r="L71" s="435">
        <f>'ADU-332'!$B$23</f>
        <v>2.2969862602719822</v>
      </c>
      <c r="M71" s="436">
        <f>'ADU-332'!$B$24</f>
        <v>60.643349999999998</v>
      </c>
      <c r="N71" s="437">
        <f t="shared" si="207"/>
        <v>3.3690749999999998E-2</v>
      </c>
      <c r="O71" s="438" t="str">
        <f>'ADU-332'!$E$5</f>
        <v>A faire</v>
      </c>
      <c r="P71" s="439">
        <f>'ADU-332'!$B$15</f>
        <v>2020</v>
      </c>
      <c r="Q71" s="656" t="str">
        <f t="shared" si="208"/>
        <v/>
      </c>
      <c r="R71" s="440">
        <f t="shared" si="158"/>
        <v>0</v>
      </c>
      <c r="S71" s="440">
        <f t="shared" si="159"/>
        <v>0</v>
      </c>
      <c r="T71" s="440">
        <f t="shared" si="160"/>
        <v>0</v>
      </c>
      <c r="U71" s="440">
        <f t="shared" si="161"/>
        <v>0</v>
      </c>
      <c r="V71" s="440">
        <f t="shared" si="162"/>
        <v>0</v>
      </c>
      <c r="W71" s="441">
        <f t="shared" si="163"/>
        <v>0</v>
      </c>
      <c r="X71" s="440">
        <f t="shared" si="164"/>
        <v>0</v>
      </c>
      <c r="Z71" s="443">
        <f t="shared" si="165"/>
        <v>0</v>
      </c>
      <c r="AA71" s="443">
        <f t="shared" si="166"/>
        <v>0</v>
      </c>
      <c r="AB71" s="443">
        <f t="shared" si="167"/>
        <v>0</v>
      </c>
      <c r="AC71" s="443">
        <f t="shared" si="168"/>
        <v>0</v>
      </c>
      <c r="AD71" s="443">
        <f t="shared" si="169"/>
        <v>0</v>
      </c>
      <c r="AE71" s="443">
        <f t="shared" si="170"/>
        <v>0</v>
      </c>
      <c r="AF71" s="443">
        <f t="shared" si="171"/>
        <v>0</v>
      </c>
      <c r="AH71" s="443">
        <f t="shared" si="172"/>
        <v>0</v>
      </c>
      <c r="AI71" s="443">
        <f t="shared" si="173"/>
        <v>0</v>
      </c>
      <c r="AJ71" s="443">
        <f t="shared" si="174"/>
        <v>0</v>
      </c>
      <c r="AK71" s="443">
        <f t="shared" si="175"/>
        <v>0</v>
      </c>
      <c r="AL71" s="443">
        <f t="shared" si="176"/>
        <v>0</v>
      </c>
      <c r="AM71" s="443">
        <f t="shared" si="177"/>
        <v>0</v>
      </c>
      <c r="AN71" s="443">
        <f t="shared" si="178"/>
        <v>0</v>
      </c>
      <c r="AP71" s="443">
        <f t="shared" si="179"/>
        <v>0</v>
      </c>
      <c r="AQ71" s="443">
        <f t="shared" si="180"/>
        <v>0</v>
      </c>
      <c r="AR71" s="443">
        <f t="shared" si="181"/>
        <v>0</v>
      </c>
      <c r="AS71" s="443">
        <f t="shared" si="182"/>
        <v>0</v>
      </c>
      <c r="AT71" s="443">
        <f t="shared" si="183"/>
        <v>0</v>
      </c>
      <c r="AU71" s="443">
        <f t="shared" si="184"/>
        <v>0</v>
      </c>
      <c r="AV71" s="443">
        <f t="shared" si="185"/>
        <v>0</v>
      </c>
      <c r="AX71" s="443">
        <f t="shared" si="186"/>
        <v>0</v>
      </c>
      <c r="AY71" s="443">
        <f t="shared" si="187"/>
        <v>0</v>
      </c>
      <c r="AZ71" s="443">
        <f t="shared" si="188"/>
        <v>0</v>
      </c>
      <c r="BA71" s="443">
        <f t="shared" si="189"/>
        <v>0</v>
      </c>
      <c r="BB71" s="443">
        <f t="shared" si="190"/>
        <v>0</v>
      </c>
      <c r="BC71" s="443">
        <f t="shared" si="191"/>
        <v>0</v>
      </c>
      <c r="BD71" s="443">
        <f t="shared" si="192"/>
        <v>0</v>
      </c>
      <c r="BF71" s="443">
        <f t="shared" si="193"/>
        <v>0</v>
      </c>
      <c r="BG71" s="443">
        <f t="shared" si="194"/>
        <v>0</v>
      </c>
      <c r="BH71" s="443">
        <f t="shared" si="195"/>
        <v>0</v>
      </c>
      <c r="BI71" s="443">
        <f t="shared" si="196"/>
        <v>0</v>
      </c>
      <c r="BJ71" s="443">
        <f t="shared" si="197"/>
        <v>0</v>
      </c>
      <c r="BK71" s="443">
        <f t="shared" si="198"/>
        <v>0</v>
      </c>
      <c r="BM71" s="443">
        <f t="shared" si="199"/>
        <v>0</v>
      </c>
      <c r="BN71" s="443">
        <f t="shared" si="200"/>
        <v>0</v>
      </c>
      <c r="BO71" s="443">
        <f t="shared" si="201"/>
        <v>0</v>
      </c>
      <c r="BP71" s="443">
        <f t="shared" si="202"/>
        <v>0</v>
      </c>
      <c r="BQ71" s="443">
        <f t="shared" si="203"/>
        <v>0</v>
      </c>
      <c r="BR71" s="443">
        <f t="shared" si="204"/>
        <v>0</v>
      </c>
      <c r="BT71" s="440">
        <f t="shared" si="205"/>
        <v>0</v>
      </c>
      <c r="BU71" s="440">
        <f t="shared" si="206"/>
        <v>60.643349999999998</v>
      </c>
    </row>
    <row r="72" spans="1:73" s="442" customFormat="1" x14ac:dyDescent="0.25">
      <c r="A72" s="647" t="s">
        <v>998</v>
      </c>
      <c r="B72" s="433" t="str">
        <f>'ADU-333'!$B$7</f>
        <v>Ménages - Mobilité</v>
      </c>
      <c r="C72" s="433" t="str">
        <f>'ADU-333'!$B$8</f>
        <v>Véhicules CNG</v>
      </c>
      <c r="D72" s="433" t="str">
        <f>'ADU-333'!$C$4</f>
        <v>Transport</v>
      </c>
      <c r="E72" s="433" t="str">
        <f>'ADU-333'!$B$11</f>
        <v>Citoyen</v>
      </c>
      <c r="F72" s="433" t="str">
        <f>'ADU-333'!$B$5</f>
        <v>Prêt bancaire</v>
      </c>
      <c r="G72" s="434">
        <f>'ADU-333'!$B$16</f>
        <v>1100000</v>
      </c>
      <c r="H72" s="433" t="str">
        <f>'ADU-333'!$B$6</f>
        <v>Pas de subside</v>
      </c>
      <c r="I72" s="434">
        <f>'ADU-333'!$B$17</f>
        <v>0</v>
      </c>
      <c r="J72" s="434">
        <f>'ADU-333'!$B$20</f>
        <v>48793.5</v>
      </c>
      <c r="K72" s="434">
        <f>'ADU-333'!$B$21</f>
        <v>0</v>
      </c>
      <c r="L72" s="435">
        <f>'ADU-333'!$B$23</f>
        <v>2.0494533083300031</v>
      </c>
      <c r="M72" s="436">
        <f>'ADU-333'!$B$24</f>
        <v>26.999070000000003</v>
      </c>
      <c r="N72" s="437">
        <f t="shared" ref="N72" si="209">IF(G72=0,0,M72/(G72-I72)*1000)</f>
        <v>2.4544609090909095E-2</v>
      </c>
      <c r="O72" s="438" t="str">
        <f>'ADU-333'!$E$5</f>
        <v>A faire</v>
      </c>
      <c r="P72" s="439">
        <f>'ADU-333'!$B$15</f>
        <v>2020</v>
      </c>
      <c r="Q72" s="656" t="str">
        <f t="shared" ref="Q72" si="210">IF(O72="terminé", M72,"")</f>
        <v/>
      </c>
      <c r="R72" s="440">
        <f t="shared" ref="R72" si="211">IF((O72="Terminé")*AND(D72="Territoire"),M72,0)</f>
        <v>0</v>
      </c>
      <c r="S72" s="440">
        <f t="shared" ref="S72" si="212">IF((O72="Terminé")*AND(D72="Agriculture"),M72,0)</f>
        <v>0</v>
      </c>
      <c r="T72" s="440">
        <f t="shared" ref="T72" si="213">IF((O72="Terminé")*AND(D72="Industrie"), M72,0)</f>
        <v>0</v>
      </c>
      <c r="U72" s="440">
        <f t="shared" ref="U72" si="214">IF((O72="Terminé")*AND(D72="Logement"),M72,0)</f>
        <v>0</v>
      </c>
      <c r="V72" s="440">
        <f t="shared" ref="V72" si="215">IF((O72="Terminé")*AND(D72="Tertiaire"),M72,0)</f>
        <v>0</v>
      </c>
      <c r="W72" s="441">
        <f t="shared" ref="W72" si="216">IF((O72="Terminé")*AND(D72="Transport"),M72,0)</f>
        <v>0</v>
      </c>
      <c r="X72" s="440">
        <f t="shared" ref="X72" si="217">IF((O72="Terminé")*AND(D72="Communal"),M72,0)</f>
        <v>0</v>
      </c>
      <c r="Z72" s="443">
        <f t="shared" ref="Z72" si="218">IF((O72="Terminé")*AND(D72="Territoire"),G72,0)</f>
        <v>0</v>
      </c>
      <c r="AA72" s="443">
        <f t="shared" ref="AA72" si="219">IF((O72="Terminé")*AND(D72="Agriculture"),G72,0)</f>
        <v>0</v>
      </c>
      <c r="AB72" s="443">
        <f t="shared" ref="AB72" si="220">IF((O72="Terminé")*AND(D72="Industrie"), G72,0)</f>
        <v>0</v>
      </c>
      <c r="AC72" s="443">
        <f t="shared" ref="AC72" si="221">IF((O72="Terminé")*AND(D72="Logement"), G72,0)</f>
        <v>0</v>
      </c>
      <c r="AD72" s="443">
        <f t="shared" ref="AD72" si="222">IF((O72="Terminé")*AND(D72="Tertiaire"),G72,0)</f>
        <v>0</v>
      </c>
      <c r="AE72" s="443">
        <f t="shared" ref="AE72" si="223">IF((O72="Terminé")*AND(D72="Transport"),G72,0)</f>
        <v>0</v>
      </c>
      <c r="AF72" s="443">
        <f t="shared" ref="AF72" si="224">IF((O72="Terminé")*AND(D72="Communal"),G72,0)</f>
        <v>0</v>
      </c>
      <c r="AH72" s="443">
        <f t="shared" ref="AH72" si="225">IF((O72="Terminé")*AND(D72="Territoire"),I72,0)</f>
        <v>0</v>
      </c>
      <c r="AI72" s="443">
        <f t="shared" ref="AI72" si="226">IF((O72="Terminé")*AND(D72="Agriculture"),I72,0)</f>
        <v>0</v>
      </c>
      <c r="AJ72" s="443">
        <f t="shared" ref="AJ72" si="227">IF((O72="Terminé")*AND(D72="Industrie"), I72,0)</f>
        <v>0</v>
      </c>
      <c r="AK72" s="443">
        <f t="shared" ref="AK72" si="228">IF((O72="Terminé")*AND(D72="Logement"), I72,0)</f>
        <v>0</v>
      </c>
      <c r="AL72" s="443">
        <f t="shared" ref="AL72" si="229">IF((O72="Terminé")*AND(D72="Tertiaire"),I72,0)</f>
        <v>0</v>
      </c>
      <c r="AM72" s="443">
        <f t="shared" ref="AM72" si="230">IF((O72="Terminé")*AND(D72="Transport"),I72,0)</f>
        <v>0</v>
      </c>
      <c r="AN72" s="443">
        <f t="shared" ref="AN72" si="231">IF((O72="Terminé")*AND(D72="Communal"),I72,0)</f>
        <v>0</v>
      </c>
      <c r="AP72" s="443">
        <f t="shared" ref="AP72" si="232">IF((O72="Terminé")*AND(D72="Territoire"),J72,0)</f>
        <v>0</v>
      </c>
      <c r="AQ72" s="443">
        <f t="shared" ref="AQ72" si="233">IF((O72="Terminé")*AND(D72="Agriculture"),J72,0)</f>
        <v>0</v>
      </c>
      <c r="AR72" s="443">
        <f t="shared" ref="AR72" si="234">IF((O72="Terminé")*AND(D72="Industrie"), J72,0)</f>
        <v>0</v>
      </c>
      <c r="AS72" s="443">
        <f t="shared" ref="AS72" si="235">IF((O72="Terminé")*AND(D72="Logement"), J72,0)</f>
        <v>0</v>
      </c>
      <c r="AT72" s="443">
        <f t="shared" ref="AT72" si="236">IF((O72="Terminé")*AND(D72="Tertiaire"),J72,0)</f>
        <v>0</v>
      </c>
      <c r="AU72" s="443">
        <f t="shared" ref="AU72" si="237">IF((O72="Terminé")*AND(D72="Transport"),J72,0)</f>
        <v>0</v>
      </c>
      <c r="AV72" s="443">
        <f t="shared" ref="AV72" si="238">IF((O72="Terminé")*AND(D72="Communal"),J72,0)</f>
        <v>0</v>
      </c>
      <c r="AX72" s="443">
        <f t="shared" ref="AX72" si="239">IF((O72="Terminé")*AND(D72="Territoire"),K72,0)</f>
        <v>0</v>
      </c>
      <c r="AY72" s="443">
        <f t="shared" ref="AY72" si="240">IF((O72="Terminé")*AND(D72="Agriculture"),K72,0)</f>
        <v>0</v>
      </c>
      <c r="AZ72" s="443">
        <f t="shared" ref="AZ72" si="241">IF((O72="Terminé")*AND(D72="Industrie"), K72,0)</f>
        <v>0</v>
      </c>
      <c r="BA72" s="443">
        <f t="shared" ref="BA72" si="242">IF((O72="Terminé")*AND(D72="Logement"), K72,0)</f>
        <v>0</v>
      </c>
      <c r="BB72" s="443">
        <f t="shared" ref="BB72" si="243">IF((O72="Terminé")*AND(D72="Tertiaire"),K72,0)</f>
        <v>0</v>
      </c>
      <c r="BC72" s="443">
        <f t="shared" ref="BC72" si="244">IF((O72="Terminé")*AND(D72="Transport"),K72,0)</f>
        <v>0</v>
      </c>
      <c r="BD72" s="443">
        <f t="shared" ref="BD72" si="245">IF((O72="Terminé")*AND(D72="Communal"),K72,0)</f>
        <v>0</v>
      </c>
      <c r="BF72" s="443">
        <f t="shared" ref="BF72" si="246">IF((O72="Terminé")*AND(E72="Agriculture"),G72,0)</f>
        <v>0</v>
      </c>
      <c r="BG72" s="443">
        <f t="shared" ref="BG72" si="247">IF((O72="Terminé")*AND(E72="Industrie"),G72,0)</f>
        <v>0</v>
      </c>
      <c r="BH72" s="443">
        <f t="shared" ref="BH72" si="248">IF((O72="Terminé")*AND(E72="Citoyen"), G72,0)</f>
        <v>0</v>
      </c>
      <c r="BI72" s="443">
        <f t="shared" ref="BI72" si="249">IF((O72="Terminé")*AND(E72="IDELUX"), G72,0)</f>
        <v>0</v>
      </c>
      <c r="BJ72" s="443">
        <f t="shared" ref="BJ72" si="250">IF((O72="Terminé")*AND(E72="AC HABAY"),G72,0)</f>
        <v>0</v>
      </c>
      <c r="BK72" s="443">
        <f t="shared" ref="BK72" si="251">IF((O72="Terminé")*AND(E72="Tertiaire"),G72,0)</f>
        <v>0</v>
      </c>
      <c r="BM72" s="443">
        <f t="shared" ref="BM72" si="252">IF((O72="Terminé")*AND(E72="Agriculture"),I72,0)</f>
        <v>0</v>
      </c>
      <c r="BN72" s="443">
        <f t="shared" ref="BN72" si="253">IF((O72="Terminé")*AND(E72="Industrie"),I72,0)</f>
        <v>0</v>
      </c>
      <c r="BO72" s="443">
        <f t="shared" ref="BO72" si="254">IF((O72="Terminé")*AND(E72="Citoyen"), I72,0)</f>
        <v>0</v>
      </c>
      <c r="BP72" s="443">
        <f t="shared" ref="BP72" si="255">IF((O72="Terminé")*AND(E72="IDELUX"), I72,0)</f>
        <v>0</v>
      </c>
      <c r="BQ72" s="443">
        <f t="shared" ref="BQ72" si="256">IF((O72="Terminé")*AND(E72="AC HABAY"),I72,0)</f>
        <v>0</v>
      </c>
      <c r="BR72" s="443">
        <f t="shared" ref="BR72" si="257">IF((O72="Terminé")*AND(E72="Tertiaire"),I72,0)</f>
        <v>0</v>
      </c>
      <c r="BT72" s="440">
        <f t="shared" ref="BT72" si="258">IF((O72="Terminé"),M72,0)</f>
        <v>0</v>
      </c>
      <c r="BU72" s="440">
        <f t="shared" ref="BU72" si="259">IF((O72="A faire"),M72,0)</f>
        <v>26.999070000000003</v>
      </c>
    </row>
    <row r="73" spans="1:73" s="442" customFormat="1" x14ac:dyDescent="0.25">
      <c r="A73" s="779" t="s">
        <v>149</v>
      </c>
      <c r="B73" s="433" t="str">
        <f>'ADU-34'!$B$7</f>
        <v>Transport</v>
      </c>
      <c r="C73" s="433" t="str">
        <f>'ADU-34'!$B$8</f>
        <v>Borne de recharge</v>
      </c>
      <c r="D73" s="433" t="str">
        <f>'ADU-34'!$C$4</f>
        <v>Transport</v>
      </c>
      <c r="E73" s="433" t="str">
        <f>'ADU-34'!$B$11</f>
        <v>AC HABAY</v>
      </c>
      <c r="F73" s="433" t="str">
        <f>'ADU-34'!$B$5</f>
        <v>1/3 invest</v>
      </c>
      <c r="G73" s="597">
        <f>'ADU-34'!$B$16</f>
        <v>20000</v>
      </c>
      <c r="H73" s="433" t="str">
        <f>'ADU-34'!$B$6</f>
        <v>Pas de subside</v>
      </c>
      <c r="I73" s="434">
        <f>'ADU-34'!$B$17</f>
        <v>0</v>
      </c>
      <c r="J73" s="434">
        <f>'ADU-34'!$B$20</f>
        <v>1</v>
      </c>
      <c r="K73" s="434">
        <f>'ADU-34'!$B$21</f>
        <v>0</v>
      </c>
      <c r="L73" s="435">
        <f>'ADU-34'!$B$23</f>
        <v>20000</v>
      </c>
      <c r="M73" s="436">
        <f>'ADU-34'!$B$24</f>
        <v>0</v>
      </c>
      <c r="N73" s="437">
        <f t="shared" si="157"/>
        <v>0</v>
      </c>
      <c r="O73" s="438" t="str">
        <f>'ADU-34'!$E$5</f>
        <v>Terminé</v>
      </c>
      <c r="P73" s="439">
        <f>'ADU-34'!$B$15</f>
        <v>2020</v>
      </c>
      <c r="Q73" s="656">
        <f t="shared" si="50"/>
        <v>0</v>
      </c>
      <c r="R73" s="440">
        <f t="shared" si="158"/>
        <v>0</v>
      </c>
      <c r="S73" s="440">
        <f t="shared" si="159"/>
        <v>0</v>
      </c>
      <c r="T73" s="440">
        <f t="shared" si="160"/>
        <v>0</v>
      </c>
      <c r="U73" s="440">
        <f t="shared" si="161"/>
        <v>0</v>
      </c>
      <c r="V73" s="440">
        <f t="shared" si="162"/>
        <v>0</v>
      </c>
      <c r="W73" s="440">
        <f t="shared" si="163"/>
        <v>0</v>
      </c>
      <c r="X73" s="440">
        <f t="shared" si="164"/>
        <v>0</v>
      </c>
      <c r="Z73" s="443">
        <f t="shared" si="165"/>
        <v>0</v>
      </c>
      <c r="AA73" s="443">
        <f t="shared" si="166"/>
        <v>0</v>
      </c>
      <c r="AB73" s="443">
        <f t="shared" si="167"/>
        <v>0</v>
      </c>
      <c r="AC73" s="443">
        <f t="shared" si="168"/>
        <v>0</v>
      </c>
      <c r="AD73" s="443">
        <f t="shared" si="169"/>
        <v>0</v>
      </c>
      <c r="AE73" s="443">
        <f t="shared" si="170"/>
        <v>20000</v>
      </c>
      <c r="AF73" s="443">
        <f t="shared" si="171"/>
        <v>0</v>
      </c>
      <c r="AH73" s="443">
        <f t="shared" si="172"/>
        <v>0</v>
      </c>
      <c r="AI73" s="443">
        <f t="shared" si="173"/>
        <v>0</v>
      </c>
      <c r="AJ73" s="443">
        <f t="shared" si="174"/>
        <v>0</v>
      </c>
      <c r="AK73" s="443">
        <f t="shared" si="175"/>
        <v>0</v>
      </c>
      <c r="AL73" s="443">
        <f t="shared" si="176"/>
        <v>0</v>
      </c>
      <c r="AM73" s="443">
        <f t="shared" si="177"/>
        <v>0</v>
      </c>
      <c r="AN73" s="443">
        <f t="shared" si="178"/>
        <v>0</v>
      </c>
      <c r="AP73" s="443">
        <f t="shared" si="179"/>
        <v>0</v>
      </c>
      <c r="AQ73" s="443">
        <f t="shared" si="180"/>
        <v>0</v>
      </c>
      <c r="AR73" s="443">
        <f t="shared" si="181"/>
        <v>0</v>
      </c>
      <c r="AS73" s="443">
        <f t="shared" si="182"/>
        <v>0</v>
      </c>
      <c r="AT73" s="443">
        <f t="shared" si="183"/>
        <v>0</v>
      </c>
      <c r="AU73" s="443">
        <f t="shared" si="184"/>
        <v>1</v>
      </c>
      <c r="AV73" s="443">
        <f t="shared" si="185"/>
        <v>0</v>
      </c>
      <c r="AX73" s="443">
        <f t="shared" si="186"/>
        <v>0</v>
      </c>
      <c r="AY73" s="443">
        <f t="shared" si="187"/>
        <v>0</v>
      </c>
      <c r="AZ73" s="443">
        <f t="shared" si="188"/>
        <v>0</v>
      </c>
      <c r="BA73" s="443">
        <f t="shared" si="189"/>
        <v>0</v>
      </c>
      <c r="BB73" s="443">
        <f t="shared" si="190"/>
        <v>0</v>
      </c>
      <c r="BC73" s="443">
        <f t="shared" si="191"/>
        <v>0</v>
      </c>
      <c r="BD73" s="443">
        <f t="shared" si="192"/>
        <v>0</v>
      </c>
      <c r="BF73" s="443">
        <f t="shared" si="193"/>
        <v>0</v>
      </c>
      <c r="BG73" s="443">
        <f t="shared" si="194"/>
        <v>0</v>
      </c>
      <c r="BH73" s="443">
        <f t="shared" si="195"/>
        <v>0</v>
      </c>
      <c r="BI73" s="443">
        <f t="shared" si="196"/>
        <v>0</v>
      </c>
      <c r="BJ73" s="443">
        <f t="shared" si="197"/>
        <v>20000</v>
      </c>
      <c r="BK73" s="443">
        <f t="shared" si="198"/>
        <v>0</v>
      </c>
      <c r="BM73" s="443">
        <f t="shared" si="199"/>
        <v>0</v>
      </c>
      <c r="BN73" s="443">
        <f t="shared" si="200"/>
        <v>0</v>
      </c>
      <c r="BO73" s="443">
        <f t="shared" si="201"/>
        <v>0</v>
      </c>
      <c r="BP73" s="443">
        <f t="shared" si="202"/>
        <v>0</v>
      </c>
      <c r="BQ73" s="443">
        <f t="shared" si="203"/>
        <v>0</v>
      </c>
      <c r="BR73" s="443">
        <f t="shared" si="204"/>
        <v>0</v>
      </c>
      <c r="BT73" s="440">
        <f t="shared" si="205"/>
        <v>0</v>
      </c>
      <c r="BU73" s="440">
        <f t="shared" si="206"/>
        <v>0</v>
      </c>
    </row>
    <row r="74" spans="1:73" s="442" customFormat="1" x14ac:dyDescent="0.25">
      <c r="A74" s="780" t="s">
        <v>717</v>
      </c>
      <c r="B74" s="433" t="str">
        <f>'ADU-341'!$B$7</f>
        <v>Transport</v>
      </c>
      <c r="C74" s="433" t="str">
        <f>'ADU-341'!$B$8</f>
        <v>PEDIBUS</v>
      </c>
      <c r="D74" s="433" t="str">
        <f>'ADU-341'!$C$4</f>
        <v>Transport</v>
      </c>
      <c r="E74" s="433" t="str">
        <f>'ADU-341'!$B$11</f>
        <v>Citoyen</v>
      </c>
      <c r="F74" s="433" t="str">
        <f>'ADU-341'!$B$5</f>
        <v>Pas de financement</v>
      </c>
      <c r="G74" s="597">
        <f>'ADU-341'!$B$16</f>
        <v>0</v>
      </c>
      <c r="H74" s="433" t="str">
        <f>'ADU-341'!$B$6</f>
        <v>Pas de subside</v>
      </c>
      <c r="I74" s="434">
        <f>'ADU-341'!$B$17</f>
        <v>0</v>
      </c>
      <c r="J74" s="434">
        <f>'ADU-341'!$B$20</f>
        <v>1</v>
      </c>
      <c r="K74" s="434">
        <f>'ADU-341'!$B$21</f>
        <v>0</v>
      </c>
      <c r="L74" s="435">
        <f>'ADU-341'!$B$23</f>
        <v>0</v>
      </c>
      <c r="M74" s="436">
        <f>'ADU-341'!$B$24</f>
        <v>2.8188000000000004</v>
      </c>
      <c r="N74" s="437">
        <f>IF(G74=0,0,M74/(G74-I74)*1000)</f>
        <v>0</v>
      </c>
      <c r="O74" s="438" t="str">
        <f>'ADU-341'!$E$5</f>
        <v>Terminé</v>
      </c>
      <c r="P74" s="439">
        <f>'ADU-341'!$B$15</f>
        <v>2020</v>
      </c>
      <c r="Q74" s="656">
        <f t="shared" si="50"/>
        <v>2.8188000000000004</v>
      </c>
      <c r="R74" s="440">
        <f t="shared" si="158"/>
        <v>0</v>
      </c>
      <c r="S74" s="440">
        <f t="shared" si="159"/>
        <v>0</v>
      </c>
      <c r="T74" s="440">
        <f t="shared" si="160"/>
        <v>0</v>
      </c>
      <c r="U74" s="440">
        <f t="shared" si="161"/>
        <v>0</v>
      </c>
      <c r="V74" s="440">
        <f t="shared" si="162"/>
        <v>0</v>
      </c>
      <c r="W74" s="440">
        <f t="shared" si="163"/>
        <v>2.8188000000000004</v>
      </c>
      <c r="X74" s="440">
        <f t="shared" si="164"/>
        <v>0</v>
      </c>
      <c r="Z74" s="443">
        <f t="shared" si="165"/>
        <v>0</v>
      </c>
      <c r="AA74" s="443">
        <f t="shared" si="166"/>
        <v>0</v>
      </c>
      <c r="AB74" s="443">
        <f t="shared" si="167"/>
        <v>0</v>
      </c>
      <c r="AC74" s="443">
        <f t="shared" si="168"/>
        <v>0</v>
      </c>
      <c r="AD74" s="443">
        <f t="shared" si="169"/>
        <v>0</v>
      </c>
      <c r="AE74" s="443">
        <f t="shared" si="170"/>
        <v>0</v>
      </c>
      <c r="AF74" s="443">
        <f t="shared" si="171"/>
        <v>0</v>
      </c>
      <c r="AH74" s="443">
        <f t="shared" si="172"/>
        <v>0</v>
      </c>
      <c r="AI74" s="443">
        <f t="shared" si="173"/>
        <v>0</v>
      </c>
      <c r="AJ74" s="443">
        <f t="shared" si="174"/>
        <v>0</v>
      </c>
      <c r="AK74" s="443">
        <f t="shared" si="175"/>
        <v>0</v>
      </c>
      <c r="AL74" s="443">
        <f t="shared" si="176"/>
        <v>0</v>
      </c>
      <c r="AM74" s="443">
        <f t="shared" si="177"/>
        <v>0</v>
      </c>
      <c r="AN74" s="443">
        <f t="shared" si="178"/>
        <v>0</v>
      </c>
      <c r="AP74" s="443">
        <f t="shared" si="179"/>
        <v>0</v>
      </c>
      <c r="AQ74" s="443">
        <f t="shared" si="180"/>
        <v>0</v>
      </c>
      <c r="AR74" s="443">
        <f t="shared" si="181"/>
        <v>0</v>
      </c>
      <c r="AS74" s="443">
        <f t="shared" si="182"/>
        <v>0</v>
      </c>
      <c r="AT74" s="443">
        <f t="shared" si="183"/>
        <v>0</v>
      </c>
      <c r="AU74" s="443">
        <f t="shared" si="184"/>
        <v>1</v>
      </c>
      <c r="AV74" s="443">
        <f t="shared" si="185"/>
        <v>0</v>
      </c>
      <c r="AX74" s="443">
        <f t="shared" si="186"/>
        <v>0</v>
      </c>
      <c r="AY74" s="443">
        <f t="shared" si="187"/>
        <v>0</v>
      </c>
      <c r="AZ74" s="443">
        <f t="shared" si="188"/>
        <v>0</v>
      </c>
      <c r="BA74" s="443">
        <f t="shared" si="189"/>
        <v>0</v>
      </c>
      <c r="BB74" s="443">
        <f t="shared" si="190"/>
        <v>0</v>
      </c>
      <c r="BC74" s="443">
        <f t="shared" si="191"/>
        <v>0</v>
      </c>
      <c r="BD74" s="443">
        <f t="shared" si="192"/>
        <v>0</v>
      </c>
      <c r="BF74" s="443">
        <f t="shared" si="193"/>
        <v>0</v>
      </c>
      <c r="BG74" s="443">
        <f t="shared" si="194"/>
        <v>0</v>
      </c>
      <c r="BH74" s="443">
        <f t="shared" si="195"/>
        <v>0</v>
      </c>
      <c r="BI74" s="443">
        <f t="shared" si="196"/>
        <v>0</v>
      </c>
      <c r="BJ74" s="443">
        <f t="shared" si="197"/>
        <v>0</v>
      </c>
      <c r="BK74" s="443">
        <f t="shared" si="198"/>
        <v>0</v>
      </c>
      <c r="BM74" s="443">
        <f t="shared" si="199"/>
        <v>0</v>
      </c>
      <c r="BN74" s="443">
        <f t="shared" si="200"/>
        <v>0</v>
      </c>
      <c r="BO74" s="443">
        <f t="shared" si="201"/>
        <v>0</v>
      </c>
      <c r="BP74" s="443">
        <f t="shared" si="202"/>
        <v>0</v>
      </c>
      <c r="BQ74" s="443">
        <f t="shared" si="203"/>
        <v>0</v>
      </c>
      <c r="BR74" s="443">
        <f t="shared" si="204"/>
        <v>0</v>
      </c>
      <c r="BT74" s="440">
        <f t="shared" si="205"/>
        <v>2.8188000000000004</v>
      </c>
      <c r="BU74" s="440">
        <f t="shared" si="206"/>
        <v>0</v>
      </c>
    </row>
    <row r="75" spans="1:73" s="442" customFormat="1" x14ac:dyDescent="0.25">
      <c r="A75" s="781" t="s">
        <v>148</v>
      </c>
      <c r="B75" s="446" t="str">
        <f>'ADU-35'!$B$7</f>
        <v>Transport</v>
      </c>
      <c r="C75" s="446" t="str">
        <f>'ADU-35'!$B$8</f>
        <v>Ramassage scolaire</v>
      </c>
      <c r="D75" s="446" t="str">
        <f>'ADU-35'!$C$4</f>
        <v>Transport</v>
      </c>
      <c r="E75" s="446" t="str">
        <f>'ADU-35'!$B$11</f>
        <v>AC HABAY</v>
      </c>
      <c r="F75" s="433" t="str">
        <f>'ADU-35'!$B$5</f>
        <v>Fonds propres</v>
      </c>
      <c r="G75" s="598">
        <f>'ADU-35'!$B$16</f>
        <v>375000</v>
      </c>
      <c r="H75" s="433" t="str">
        <f>'ADU-35'!$B$6</f>
        <v>Pas de subside</v>
      </c>
      <c r="I75" s="447">
        <f>'ADU-35'!$B$17</f>
        <v>0</v>
      </c>
      <c r="J75" s="447">
        <f>'ADU-35'!$B$20</f>
        <v>14400</v>
      </c>
      <c r="K75" s="447">
        <f>'ADU-35'!$B$21</f>
        <v>0</v>
      </c>
      <c r="L75" s="448">
        <f>'ADU-35'!$B$23</f>
        <v>26.041666666666668</v>
      </c>
      <c r="M75" s="449">
        <f>'ADU-35'!$B$24</f>
        <v>23.49</v>
      </c>
      <c r="N75" s="450">
        <f t="shared" si="157"/>
        <v>6.2640000000000001E-2</v>
      </c>
      <c r="O75" s="451" t="str">
        <f>'ADU-35'!$E$5</f>
        <v>A faire</v>
      </c>
      <c r="P75" s="439">
        <f>'ADU-35'!$B$15</f>
        <v>2020</v>
      </c>
      <c r="Q75" s="656" t="str">
        <f t="shared" si="50"/>
        <v/>
      </c>
      <c r="R75" s="440">
        <f t="shared" si="158"/>
        <v>0</v>
      </c>
      <c r="S75" s="452">
        <f t="shared" si="159"/>
        <v>0</v>
      </c>
      <c r="T75" s="452">
        <f t="shared" si="160"/>
        <v>0</v>
      </c>
      <c r="U75" s="452">
        <f t="shared" si="161"/>
        <v>0</v>
      </c>
      <c r="V75" s="452">
        <f t="shared" si="162"/>
        <v>0</v>
      </c>
      <c r="W75" s="452">
        <f t="shared" si="163"/>
        <v>0</v>
      </c>
      <c r="X75" s="452">
        <f t="shared" si="164"/>
        <v>0</v>
      </c>
      <c r="Z75" s="443">
        <f t="shared" si="165"/>
        <v>0</v>
      </c>
      <c r="AA75" s="443">
        <f t="shared" si="166"/>
        <v>0</v>
      </c>
      <c r="AB75" s="443">
        <f t="shared" si="167"/>
        <v>0</v>
      </c>
      <c r="AC75" s="443">
        <f t="shared" si="168"/>
        <v>0</v>
      </c>
      <c r="AD75" s="443">
        <f t="shared" si="169"/>
        <v>0</v>
      </c>
      <c r="AE75" s="443">
        <f t="shared" si="170"/>
        <v>0</v>
      </c>
      <c r="AF75" s="443">
        <f t="shared" si="171"/>
        <v>0</v>
      </c>
      <c r="AH75" s="443">
        <f t="shared" si="172"/>
        <v>0</v>
      </c>
      <c r="AI75" s="443">
        <f t="shared" si="173"/>
        <v>0</v>
      </c>
      <c r="AJ75" s="443">
        <f t="shared" si="174"/>
        <v>0</v>
      </c>
      <c r="AK75" s="443">
        <f t="shared" si="175"/>
        <v>0</v>
      </c>
      <c r="AL75" s="443">
        <f t="shared" si="176"/>
        <v>0</v>
      </c>
      <c r="AM75" s="443">
        <f t="shared" si="177"/>
        <v>0</v>
      </c>
      <c r="AN75" s="443">
        <f t="shared" si="178"/>
        <v>0</v>
      </c>
      <c r="AP75" s="443">
        <f t="shared" si="179"/>
        <v>0</v>
      </c>
      <c r="AQ75" s="443">
        <f t="shared" si="180"/>
        <v>0</v>
      </c>
      <c r="AR75" s="443">
        <f t="shared" si="181"/>
        <v>0</v>
      </c>
      <c r="AS75" s="443">
        <f t="shared" si="182"/>
        <v>0</v>
      </c>
      <c r="AT75" s="443">
        <f t="shared" si="183"/>
        <v>0</v>
      </c>
      <c r="AU75" s="443">
        <f t="shared" si="184"/>
        <v>0</v>
      </c>
      <c r="AV75" s="443">
        <f t="shared" si="185"/>
        <v>0</v>
      </c>
      <c r="AX75" s="443">
        <f t="shared" si="186"/>
        <v>0</v>
      </c>
      <c r="AY75" s="443">
        <f t="shared" si="187"/>
        <v>0</v>
      </c>
      <c r="AZ75" s="443">
        <f t="shared" si="188"/>
        <v>0</v>
      </c>
      <c r="BA75" s="443">
        <f t="shared" si="189"/>
        <v>0</v>
      </c>
      <c r="BB75" s="443">
        <f t="shared" si="190"/>
        <v>0</v>
      </c>
      <c r="BC75" s="443">
        <f t="shared" si="191"/>
        <v>0</v>
      </c>
      <c r="BD75" s="443">
        <f t="shared" si="192"/>
        <v>0</v>
      </c>
      <c r="BF75" s="443">
        <f t="shared" si="193"/>
        <v>0</v>
      </c>
      <c r="BG75" s="443">
        <f t="shared" si="194"/>
        <v>0</v>
      </c>
      <c r="BH75" s="443">
        <f t="shared" si="195"/>
        <v>0</v>
      </c>
      <c r="BI75" s="443">
        <f t="shared" si="196"/>
        <v>0</v>
      </c>
      <c r="BJ75" s="443">
        <f t="shared" si="197"/>
        <v>0</v>
      </c>
      <c r="BK75" s="443">
        <f t="shared" si="198"/>
        <v>0</v>
      </c>
      <c r="BM75" s="443">
        <f t="shared" si="199"/>
        <v>0</v>
      </c>
      <c r="BN75" s="443">
        <f t="shared" si="200"/>
        <v>0</v>
      </c>
      <c r="BO75" s="443">
        <f t="shared" si="201"/>
        <v>0</v>
      </c>
      <c r="BP75" s="443">
        <f t="shared" si="202"/>
        <v>0</v>
      </c>
      <c r="BQ75" s="443">
        <f t="shared" si="203"/>
        <v>0</v>
      </c>
      <c r="BR75" s="443">
        <f t="shared" si="204"/>
        <v>0</v>
      </c>
      <c r="BT75" s="440">
        <f t="shared" si="205"/>
        <v>0</v>
      </c>
      <c r="BU75" s="440">
        <f t="shared" si="206"/>
        <v>23.49</v>
      </c>
    </row>
    <row r="76" spans="1:73" s="442" customFormat="1" x14ac:dyDescent="0.25">
      <c r="A76" s="677" t="s">
        <v>909</v>
      </c>
      <c r="B76" s="446" t="str">
        <f>'ADU-351'!$B$7</f>
        <v>Transport</v>
      </c>
      <c r="C76" s="446" t="str">
        <f>'ADU-351'!$B$8</f>
        <v>Vélos à assistance électrique</v>
      </c>
      <c r="D76" s="446" t="str">
        <f>'ADU-351'!$C$4</f>
        <v>Transport</v>
      </c>
      <c r="E76" s="446" t="str">
        <f>'ADU-351'!$B$11</f>
        <v>Citoyen</v>
      </c>
      <c r="F76" s="433" t="str">
        <f>'ADU-351'!$B$5</f>
        <v>Fonds propres</v>
      </c>
      <c r="G76" s="598">
        <f>'ADU-351'!$B$16</f>
        <v>160000</v>
      </c>
      <c r="H76" s="433" t="str">
        <f>'ADU-351'!$B$6</f>
        <v>Pas de subside</v>
      </c>
      <c r="I76" s="447">
        <f>'ADU-351'!$B$17</f>
        <v>0</v>
      </c>
      <c r="J76" s="447">
        <f>'ADU-351'!$B$20</f>
        <v>14400</v>
      </c>
      <c r="K76" s="447">
        <f>'ADU-351'!$B$21</f>
        <v>0</v>
      </c>
      <c r="L76" s="448">
        <f>'ADU-351'!$B$23</f>
        <v>11.111111111111111</v>
      </c>
      <c r="M76" s="449">
        <f>'ADU-351'!$B$24</f>
        <v>23.49</v>
      </c>
      <c r="N76" s="450">
        <f t="shared" ref="N76" si="260">IF(G76=0,0,M76/(G76-I76)*1000)</f>
        <v>0.14681249999999998</v>
      </c>
      <c r="O76" s="451" t="str">
        <f>'ADU-351'!$E$5</f>
        <v>En cours</v>
      </c>
      <c r="P76" s="439">
        <f>'ADU-351'!$B$15</f>
        <v>2020</v>
      </c>
      <c r="Q76" s="656" t="str">
        <f t="shared" ref="Q76" si="261">IF(O76="terminé", M76,"")</f>
        <v/>
      </c>
      <c r="R76" s="440">
        <f t="shared" si="158"/>
        <v>0</v>
      </c>
      <c r="S76" s="452">
        <f t="shared" si="159"/>
        <v>0</v>
      </c>
      <c r="T76" s="452">
        <f t="shared" si="160"/>
        <v>0</v>
      </c>
      <c r="U76" s="452">
        <f t="shared" si="161"/>
        <v>0</v>
      </c>
      <c r="V76" s="452">
        <f t="shared" si="162"/>
        <v>0</v>
      </c>
      <c r="W76" s="452">
        <f t="shared" si="163"/>
        <v>0</v>
      </c>
      <c r="X76" s="452">
        <f t="shared" si="164"/>
        <v>0</v>
      </c>
      <c r="Z76" s="443">
        <f t="shared" si="165"/>
        <v>0</v>
      </c>
      <c r="AA76" s="443">
        <f t="shared" si="166"/>
        <v>0</v>
      </c>
      <c r="AB76" s="443">
        <f t="shared" si="167"/>
        <v>0</v>
      </c>
      <c r="AC76" s="443">
        <f t="shared" si="168"/>
        <v>0</v>
      </c>
      <c r="AD76" s="443">
        <f t="shared" si="169"/>
        <v>0</v>
      </c>
      <c r="AE76" s="443">
        <f t="shared" si="170"/>
        <v>0</v>
      </c>
      <c r="AF76" s="443">
        <f t="shared" si="171"/>
        <v>0</v>
      </c>
      <c r="AH76" s="443">
        <f t="shared" si="172"/>
        <v>0</v>
      </c>
      <c r="AI76" s="443">
        <f t="shared" si="173"/>
        <v>0</v>
      </c>
      <c r="AJ76" s="443">
        <f t="shared" si="174"/>
        <v>0</v>
      </c>
      <c r="AK76" s="443">
        <f t="shared" si="175"/>
        <v>0</v>
      </c>
      <c r="AL76" s="443">
        <f t="shared" si="176"/>
        <v>0</v>
      </c>
      <c r="AM76" s="443">
        <f t="shared" si="177"/>
        <v>0</v>
      </c>
      <c r="AN76" s="443">
        <f t="shared" si="178"/>
        <v>0</v>
      </c>
      <c r="AP76" s="443">
        <f t="shared" si="179"/>
        <v>0</v>
      </c>
      <c r="AQ76" s="443">
        <f t="shared" si="180"/>
        <v>0</v>
      </c>
      <c r="AR76" s="443">
        <f t="shared" si="181"/>
        <v>0</v>
      </c>
      <c r="AS76" s="443">
        <f t="shared" si="182"/>
        <v>0</v>
      </c>
      <c r="AT76" s="443">
        <f t="shared" si="183"/>
        <v>0</v>
      </c>
      <c r="AU76" s="443">
        <f t="shared" si="184"/>
        <v>0</v>
      </c>
      <c r="AV76" s="443">
        <f t="shared" si="185"/>
        <v>0</v>
      </c>
      <c r="AX76" s="443">
        <f t="shared" si="186"/>
        <v>0</v>
      </c>
      <c r="AY76" s="443">
        <f t="shared" si="187"/>
        <v>0</v>
      </c>
      <c r="AZ76" s="443">
        <f t="shared" si="188"/>
        <v>0</v>
      </c>
      <c r="BA76" s="443">
        <f t="shared" si="189"/>
        <v>0</v>
      </c>
      <c r="BB76" s="443">
        <f t="shared" si="190"/>
        <v>0</v>
      </c>
      <c r="BC76" s="443">
        <f t="shared" si="191"/>
        <v>0</v>
      </c>
      <c r="BD76" s="443">
        <f t="shared" si="192"/>
        <v>0</v>
      </c>
      <c r="BF76" s="443">
        <f t="shared" si="193"/>
        <v>0</v>
      </c>
      <c r="BG76" s="443">
        <f t="shared" si="194"/>
        <v>0</v>
      </c>
      <c r="BH76" s="443">
        <f t="shared" si="195"/>
        <v>0</v>
      </c>
      <c r="BI76" s="443">
        <f t="shared" si="196"/>
        <v>0</v>
      </c>
      <c r="BJ76" s="443">
        <f t="shared" si="197"/>
        <v>0</v>
      </c>
      <c r="BK76" s="443">
        <f t="shared" si="198"/>
        <v>0</v>
      </c>
      <c r="BM76" s="443">
        <f t="shared" si="199"/>
        <v>0</v>
      </c>
      <c r="BN76" s="443">
        <f t="shared" si="200"/>
        <v>0</v>
      </c>
      <c r="BO76" s="443">
        <f t="shared" si="201"/>
        <v>0</v>
      </c>
      <c r="BP76" s="443">
        <f t="shared" si="202"/>
        <v>0</v>
      </c>
      <c r="BQ76" s="443">
        <f t="shared" si="203"/>
        <v>0</v>
      </c>
      <c r="BR76" s="443">
        <f t="shared" si="204"/>
        <v>0</v>
      </c>
      <c r="BT76" s="440">
        <f t="shared" si="205"/>
        <v>0</v>
      </c>
      <c r="BU76" s="440">
        <f t="shared" si="206"/>
        <v>0</v>
      </c>
    </row>
    <row r="77" spans="1:73" s="477" customFormat="1" x14ac:dyDescent="0.25">
      <c r="A77" s="676" t="s">
        <v>704</v>
      </c>
      <c r="B77" s="478" t="str">
        <f>'ADU-361'!$B$7</f>
        <v>Logement</v>
      </c>
      <c r="C77" s="478" t="str">
        <f>'ADU-361'!$B$8</f>
        <v>Pompes à chaleur GEO</v>
      </c>
      <c r="D77" s="478" t="str">
        <f>'ADU-361'!$C$4</f>
        <v>Logement</v>
      </c>
      <c r="E77" s="478" t="str">
        <f>'ADU-361'!$B$11</f>
        <v>Citoyen</v>
      </c>
      <c r="F77" s="468" t="str">
        <f>'ADU-361'!$B$5</f>
        <v>ECOPACK</v>
      </c>
      <c r="G77" s="596">
        <f>'ADU-361'!$B$16</f>
        <v>200000</v>
      </c>
      <c r="H77" s="468" t="str">
        <f>'ADU-361'!$B$6</f>
        <v>Pas de subside</v>
      </c>
      <c r="I77" s="534">
        <f>'ADU-361'!$B$17</f>
        <v>0</v>
      </c>
      <c r="J77" s="534">
        <f>'ADU-361'!$B$20</f>
        <v>1580.6398687448727</v>
      </c>
      <c r="K77" s="534">
        <f>'ADU-361'!$B$21</f>
        <v>0</v>
      </c>
      <c r="L77" s="536">
        <f>'ADU-361'!$B$23</f>
        <v>103.75544944986507</v>
      </c>
      <c r="M77" s="536">
        <f>'ADU-361'!$B$24</f>
        <v>9.3780147662018045</v>
      </c>
      <c r="N77" s="537">
        <f t="shared" si="157"/>
        <v>4.6890073831009023E-2</v>
      </c>
      <c r="O77" s="538" t="str">
        <f>'ADU-361'!$E$5</f>
        <v>En cours</v>
      </c>
      <c r="P77" s="474">
        <f>'ADU-361'!$B$15</f>
        <v>2020</v>
      </c>
      <c r="Q77" s="539" t="str">
        <f t="shared" si="50"/>
        <v/>
      </c>
      <c r="R77" s="475">
        <f t="shared" si="158"/>
        <v>0</v>
      </c>
      <c r="S77" s="478">
        <f t="shared" si="159"/>
        <v>0</v>
      </c>
      <c r="T77" s="478">
        <f t="shared" si="160"/>
        <v>0</v>
      </c>
      <c r="U77" s="539">
        <f t="shared" si="161"/>
        <v>0</v>
      </c>
      <c r="V77" s="478">
        <f t="shared" si="162"/>
        <v>0</v>
      </c>
      <c r="W77" s="478">
        <f t="shared" si="163"/>
        <v>0</v>
      </c>
      <c r="X77" s="478">
        <f t="shared" si="164"/>
        <v>0</v>
      </c>
      <c r="Z77" s="478">
        <f t="shared" si="165"/>
        <v>0</v>
      </c>
      <c r="AA77" s="478">
        <f t="shared" si="166"/>
        <v>0</v>
      </c>
      <c r="AB77" s="478">
        <f t="shared" si="167"/>
        <v>0</v>
      </c>
      <c r="AC77" s="478">
        <f t="shared" si="168"/>
        <v>0</v>
      </c>
      <c r="AD77" s="478">
        <f t="shared" si="169"/>
        <v>0</v>
      </c>
      <c r="AE77" s="478">
        <f t="shared" si="170"/>
        <v>0</v>
      </c>
      <c r="AF77" s="478">
        <f t="shared" si="171"/>
        <v>0</v>
      </c>
      <c r="AH77" s="478">
        <f t="shared" si="172"/>
        <v>0</v>
      </c>
      <c r="AI77" s="478">
        <f t="shared" si="173"/>
        <v>0</v>
      </c>
      <c r="AJ77" s="478">
        <f t="shared" si="174"/>
        <v>0</v>
      </c>
      <c r="AK77" s="478">
        <f t="shared" si="175"/>
        <v>0</v>
      </c>
      <c r="AL77" s="478">
        <f t="shared" si="176"/>
        <v>0</v>
      </c>
      <c r="AM77" s="478">
        <f t="shared" si="177"/>
        <v>0</v>
      </c>
      <c r="AN77" s="478">
        <f t="shared" si="178"/>
        <v>0</v>
      </c>
      <c r="AP77" s="478">
        <f t="shared" si="179"/>
        <v>0</v>
      </c>
      <c r="AQ77" s="478">
        <f t="shared" si="180"/>
        <v>0</v>
      </c>
      <c r="AR77" s="478">
        <f t="shared" si="181"/>
        <v>0</v>
      </c>
      <c r="AS77" s="478">
        <f t="shared" si="182"/>
        <v>0</v>
      </c>
      <c r="AT77" s="478">
        <f t="shared" si="183"/>
        <v>0</v>
      </c>
      <c r="AU77" s="478">
        <f t="shared" si="184"/>
        <v>0</v>
      </c>
      <c r="AV77" s="478">
        <f t="shared" si="185"/>
        <v>0</v>
      </c>
      <c r="AX77" s="478">
        <f t="shared" si="186"/>
        <v>0</v>
      </c>
      <c r="AY77" s="478">
        <f t="shared" si="187"/>
        <v>0</v>
      </c>
      <c r="AZ77" s="478">
        <f t="shared" si="188"/>
        <v>0</v>
      </c>
      <c r="BA77" s="478">
        <f t="shared" si="189"/>
        <v>0</v>
      </c>
      <c r="BB77" s="478">
        <f t="shared" si="190"/>
        <v>0</v>
      </c>
      <c r="BC77" s="478">
        <f t="shared" si="191"/>
        <v>0</v>
      </c>
      <c r="BD77" s="478">
        <f t="shared" si="192"/>
        <v>0</v>
      </c>
      <c r="BF77" s="478">
        <f t="shared" si="193"/>
        <v>0</v>
      </c>
      <c r="BG77" s="478">
        <f t="shared" si="194"/>
        <v>0</v>
      </c>
      <c r="BH77" s="478">
        <f t="shared" si="195"/>
        <v>0</v>
      </c>
      <c r="BI77" s="478">
        <f t="shared" si="196"/>
        <v>0</v>
      </c>
      <c r="BJ77" s="478">
        <f t="shared" si="197"/>
        <v>0</v>
      </c>
      <c r="BK77" s="478">
        <f t="shared" si="198"/>
        <v>0</v>
      </c>
      <c r="BM77" s="478">
        <f t="shared" si="199"/>
        <v>0</v>
      </c>
      <c r="BN77" s="478">
        <f t="shared" si="200"/>
        <v>0</v>
      </c>
      <c r="BO77" s="478">
        <f t="shared" si="201"/>
        <v>0</v>
      </c>
      <c r="BP77" s="478">
        <f t="shared" si="202"/>
        <v>0</v>
      </c>
      <c r="BQ77" s="478">
        <f t="shared" si="203"/>
        <v>0</v>
      </c>
      <c r="BR77" s="478">
        <f t="shared" si="204"/>
        <v>0</v>
      </c>
      <c r="BT77" s="475">
        <f t="shared" si="205"/>
        <v>0</v>
      </c>
      <c r="BU77" s="475">
        <f t="shared" si="206"/>
        <v>0</v>
      </c>
    </row>
    <row r="78" spans="1:73" s="477" customFormat="1" x14ac:dyDescent="0.25">
      <c r="A78" s="676" t="s">
        <v>707</v>
      </c>
      <c r="B78" s="478" t="str">
        <f>'ADU-362'!$B$7</f>
        <v>Logement</v>
      </c>
      <c r="C78" s="478" t="str">
        <f>'ADU-362'!$B$8</f>
        <v>Pompes à chaleur A-A</v>
      </c>
      <c r="D78" s="478" t="str">
        <f>'ADU-362'!$C$4</f>
        <v>Logement</v>
      </c>
      <c r="E78" s="478" t="str">
        <f>'ADU-362'!$B$11</f>
        <v>Citoyen</v>
      </c>
      <c r="F78" s="468" t="str">
        <f>'ADU-362'!$B$5</f>
        <v>ECOPACK</v>
      </c>
      <c r="G78" s="596">
        <f>'ADU-362'!$B$16</f>
        <v>137500</v>
      </c>
      <c r="H78" s="468" t="str">
        <f>'ADU-362'!$B$6</f>
        <v>Pas de subside</v>
      </c>
      <c r="I78" s="534">
        <f>'ADU-362'!$B$17</f>
        <v>0</v>
      </c>
      <c r="J78" s="534">
        <f>'ADU-362'!$B$20</f>
        <v>1764.596273291927</v>
      </c>
      <c r="K78" s="534">
        <f>'ADU-362'!$B$21</f>
        <v>0</v>
      </c>
      <c r="L78" s="535">
        <f>'ADU-362'!$B$23</f>
        <v>14.167546638507556</v>
      </c>
      <c r="M78" s="536">
        <f>'ADU-362'!$B$24</f>
        <v>31.368633540372674</v>
      </c>
      <c r="N78" s="537">
        <f>IF(G78=0,0,M78/(G78-I78)*1000)</f>
        <v>0.22813551665725582</v>
      </c>
      <c r="O78" s="538" t="str">
        <f>'ADU-362'!$E$5</f>
        <v>En cours</v>
      </c>
      <c r="P78" s="474">
        <f>'ADU-362'!$B$15</f>
        <v>2020</v>
      </c>
      <c r="Q78" s="539" t="str">
        <f t="shared" si="50"/>
        <v/>
      </c>
      <c r="R78" s="475">
        <f t="shared" si="158"/>
        <v>0</v>
      </c>
      <c r="S78" s="478">
        <f t="shared" si="159"/>
        <v>0</v>
      </c>
      <c r="T78" s="478">
        <f t="shared" si="160"/>
        <v>0</v>
      </c>
      <c r="U78" s="539">
        <f t="shared" si="161"/>
        <v>0</v>
      </c>
      <c r="V78" s="478">
        <f t="shared" si="162"/>
        <v>0</v>
      </c>
      <c r="W78" s="478">
        <f t="shared" si="163"/>
        <v>0</v>
      </c>
      <c r="X78" s="478">
        <f t="shared" si="164"/>
        <v>0</v>
      </c>
      <c r="Z78" s="478">
        <f t="shared" si="165"/>
        <v>0</v>
      </c>
      <c r="AA78" s="478">
        <f t="shared" si="166"/>
        <v>0</v>
      </c>
      <c r="AB78" s="478">
        <f t="shared" si="167"/>
        <v>0</v>
      </c>
      <c r="AC78" s="478">
        <f t="shared" si="168"/>
        <v>0</v>
      </c>
      <c r="AD78" s="478">
        <f t="shared" si="169"/>
        <v>0</v>
      </c>
      <c r="AE78" s="478">
        <f t="shared" si="170"/>
        <v>0</v>
      </c>
      <c r="AF78" s="478">
        <f t="shared" si="171"/>
        <v>0</v>
      </c>
      <c r="AH78" s="478">
        <f t="shared" si="172"/>
        <v>0</v>
      </c>
      <c r="AI78" s="478">
        <f t="shared" si="173"/>
        <v>0</v>
      </c>
      <c r="AJ78" s="478">
        <f t="shared" si="174"/>
        <v>0</v>
      </c>
      <c r="AK78" s="478">
        <f t="shared" si="175"/>
        <v>0</v>
      </c>
      <c r="AL78" s="478">
        <f t="shared" si="176"/>
        <v>0</v>
      </c>
      <c r="AM78" s="478">
        <f t="shared" si="177"/>
        <v>0</v>
      </c>
      <c r="AN78" s="478">
        <f t="shared" si="178"/>
        <v>0</v>
      </c>
      <c r="AP78" s="478">
        <f t="shared" si="179"/>
        <v>0</v>
      </c>
      <c r="AQ78" s="478">
        <f t="shared" si="180"/>
        <v>0</v>
      </c>
      <c r="AR78" s="478">
        <f t="shared" si="181"/>
        <v>0</v>
      </c>
      <c r="AS78" s="478">
        <f t="shared" si="182"/>
        <v>0</v>
      </c>
      <c r="AT78" s="478">
        <f t="shared" si="183"/>
        <v>0</v>
      </c>
      <c r="AU78" s="478">
        <f t="shared" si="184"/>
        <v>0</v>
      </c>
      <c r="AV78" s="478">
        <f t="shared" si="185"/>
        <v>0</v>
      </c>
      <c r="AX78" s="478">
        <f t="shared" si="186"/>
        <v>0</v>
      </c>
      <c r="AY78" s="478">
        <f t="shared" si="187"/>
        <v>0</v>
      </c>
      <c r="AZ78" s="478">
        <f t="shared" si="188"/>
        <v>0</v>
      </c>
      <c r="BA78" s="478">
        <f t="shared" si="189"/>
        <v>0</v>
      </c>
      <c r="BB78" s="478">
        <f t="shared" si="190"/>
        <v>0</v>
      </c>
      <c r="BC78" s="478">
        <f t="shared" si="191"/>
        <v>0</v>
      </c>
      <c r="BD78" s="478">
        <f t="shared" si="192"/>
        <v>0</v>
      </c>
      <c r="BF78" s="478">
        <f t="shared" si="193"/>
        <v>0</v>
      </c>
      <c r="BG78" s="478">
        <f t="shared" si="194"/>
        <v>0</v>
      </c>
      <c r="BH78" s="478">
        <f t="shared" si="195"/>
        <v>0</v>
      </c>
      <c r="BI78" s="478">
        <f t="shared" si="196"/>
        <v>0</v>
      </c>
      <c r="BJ78" s="478">
        <f t="shared" si="197"/>
        <v>0</v>
      </c>
      <c r="BK78" s="478">
        <f t="shared" si="198"/>
        <v>0</v>
      </c>
      <c r="BM78" s="478">
        <f t="shared" si="199"/>
        <v>0</v>
      </c>
      <c r="BN78" s="478">
        <f t="shared" si="200"/>
        <v>0</v>
      </c>
      <c r="BO78" s="478">
        <f t="shared" si="201"/>
        <v>0</v>
      </c>
      <c r="BP78" s="478">
        <f t="shared" si="202"/>
        <v>0</v>
      </c>
      <c r="BQ78" s="478">
        <f t="shared" si="203"/>
        <v>0</v>
      </c>
      <c r="BR78" s="478">
        <f t="shared" si="204"/>
        <v>0</v>
      </c>
      <c r="BT78" s="475">
        <f t="shared" si="205"/>
        <v>0</v>
      </c>
      <c r="BU78" s="475">
        <f t="shared" si="206"/>
        <v>0</v>
      </c>
    </row>
    <row r="79" spans="1:73" s="477" customFormat="1" x14ac:dyDescent="0.25">
      <c r="A79" s="676" t="s">
        <v>708</v>
      </c>
      <c r="B79" s="478" t="str">
        <f>'ADU-363'!$B$7</f>
        <v>Logement</v>
      </c>
      <c r="C79" s="478" t="str">
        <f>'ADU-363'!$B$8</f>
        <v>Pompes à chaleur A-E</v>
      </c>
      <c r="D79" s="478" t="str">
        <f>'ADU-363'!$C$4</f>
        <v>Logement</v>
      </c>
      <c r="E79" s="478" t="str">
        <f>'ADU-363'!$B$11</f>
        <v>Citoyen</v>
      </c>
      <c r="F79" s="468" t="str">
        <f>'ADU-363'!$B$5</f>
        <v>ECOPACK</v>
      </c>
      <c r="G79" s="596">
        <f>'ADU-363'!$B$16</f>
        <v>200000</v>
      </c>
      <c r="H79" s="468" t="str">
        <f>'ADU-363'!$B$6</f>
        <v>Pas de subside</v>
      </c>
      <c r="I79" s="534">
        <f>'ADU-363'!$B$17</f>
        <v>0</v>
      </c>
      <c r="J79" s="534">
        <f>'ADU-363'!$B$20</f>
        <v>2732.2654462242544</v>
      </c>
      <c r="K79" s="534">
        <f>'ADU-363'!$B$21</f>
        <v>0</v>
      </c>
      <c r="L79" s="535">
        <f>'ADU-363'!$B$23</f>
        <v>32.024706867671711</v>
      </c>
      <c r="M79" s="536">
        <f>'ADU-363'!$B$24</f>
        <v>32.251716247139591</v>
      </c>
      <c r="N79" s="537">
        <f>IF(G79=0,0,M79/(G79-I79)*1000)</f>
        <v>0.16125858123569795</v>
      </c>
      <c r="O79" s="538" t="str">
        <f>'ADU-363'!$E$5</f>
        <v>En cours</v>
      </c>
      <c r="P79" s="474">
        <f>'ADU-363'!$B$15</f>
        <v>2020</v>
      </c>
      <c r="Q79" s="539" t="str">
        <f t="shared" si="50"/>
        <v/>
      </c>
      <c r="R79" s="475">
        <f t="shared" si="158"/>
        <v>0</v>
      </c>
      <c r="S79" s="478">
        <f t="shared" si="159"/>
        <v>0</v>
      </c>
      <c r="T79" s="478">
        <f t="shared" si="160"/>
        <v>0</v>
      </c>
      <c r="U79" s="539">
        <f t="shared" si="161"/>
        <v>0</v>
      </c>
      <c r="V79" s="478">
        <f t="shared" si="162"/>
        <v>0</v>
      </c>
      <c r="W79" s="478">
        <f t="shared" si="163"/>
        <v>0</v>
      </c>
      <c r="X79" s="478">
        <f t="shared" si="164"/>
        <v>0</v>
      </c>
      <c r="Z79" s="478">
        <f t="shared" si="165"/>
        <v>0</v>
      </c>
      <c r="AA79" s="478">
        <f t="shared" si="166"/>
        <v>0</v>
      </c>
      <c r="AB79" s="478">
        <f t="shared" si="167"/>
        <v>0</v>
      </c>
      <c r="AC79" s="478">
        <f t="shared" si="168"/>
        <v>0</v>
      </c>
      <c r="AD79" s="478">
        <f t="shared" si="169"/>
        <v>0</v>
      </c>
      <c r="AE79" s="478">
        <f t="shared" si="170"/>
        <v>0</v>
      </c>
      <c r="AF79" s="478">
        <f t="shared" si="171"/>
        <v>0</v>
      </c>
      <c r="AH79" s="478">
        <f t="shared" si="172"/>
        <v>0</v>
      </c>
      <c r="AI79" s="478">
        <f t="shared" si="173"/>
        <v>0</v>
      </c>
      <c r="AJ79" s="478">
        <f t="shared" si="174"/>
        <v>0</v>
      </c>
      <c r="AK79" s="478">
        <f t="shared" si="175"/>
        <v>0</v>
      </c>
      <c r="AL79" s="478">
        <f t="shared" si="176"/>
        <v>0</v>
      </c>
      <c r="AM79" s="478">
        <f t="shared" si="177"/>
        <v>0</v>
      </c>
      <c r="AN79" s="478">
        <f t="shared" si="178"/>
        <v>0</v>
      </c>
      <c r="AP79" s="478">
        <f t="shared" si="179"/>
        <v>0</v>
      </c>
      <c r="AQ79" s="478">
        <f t="shared" si="180"/>
        <v>0</v>
      </c>
      <c r="AR79" s="478">
        <f t="shared" si="181"/>
        <v>0</v>
      </c>
      <c r="AS79" s="478">
        <f t="shared" si="182"/>
        <v>0</v>
      </c>
      <c r="AT79" s="478">
        <f t="shared" si="183"/>
        <v>0</v>
      </c>
      <c r="AU79" s="478">
        <f t="shared" si="184"/>
        <v>0</v>
      </c>
      <c r="AV79" s="478">
        <f t="shared" si="185"/>
        <v>0</v>
      </c>
      <c r="AX79" s="478">
        <f t="shared" si="186"/>
        <v>0</v>
      </c>
      <c r="AY79" s="478">
        <f t="shared" si="187"/>
        <v>0</v>
      </c>
      <c r="AZ79" s="478">
        <f t="shared" si="188"/>
        <v>0</v>
      </c>
      <c r="BA79" s="478">
        <f t="shared" si="189"/>
        <v>0</v>
      </c>
      <c r="BB79" s="478">
        <f t="shared" si="190"/>
        <v>0</v>
      </c>
      <c r="BC79" s="478">
        <f t="shared" si="191"/>
        <v>0</v>
      </c>
      <c r="BD79" s="478">
        <f t="shared" si="192"/>
        <v>0</v>
      </c>
      <c r="BF79" s="478">
        <f t="shared" si="193"/>
        <v>0</v>
      </c>
      <c r="BG79" s="478">
        <f t="shared" si="194"/>
        <v>0</v>
      </c>
      <c r="BH79" s="478">
        <f t="shared" si="195"/>
        <v>0</v>
      </c>
      <c r="BI79" s="478">
        <f t="shared" si="196"/>
        <v>0</v>
      </c>
      <c r="BJ79" s="478">
        <f t="shared" si="197"/>
        <v>0</v>
      </c>
      <c r="BK79" s="478">
        <f t="shared" si="198"/>
        <v>0</v>
      </c>
      <c r="BM79" s="478">
        <f t="shared" si="199"/>
        <v>0</v>
      </c>
      <c r="BN79" s="478">
        <f t="shared" si="200"/>
        <v>0</v>
      </c>
      <c r="BO79" s="478">
        <f t="shared" si="201"/>
        <v>0</v>
      </c>
      <c r="BP79" s="478">
        <f t="shared" si="202"/>
        <v>0</v>
      </c>
      <c r="BQ79" s="478">
        <f t="shared" si="203"/>
        <v>0</v>
      </c>
      <c r="BR79" s="478">
        <f t="shared" si="204"/>
        <v>0</v>
      </c>
      <c r="BT79" s="475">
        <f t="shared" si="205"/>
        <v>0</v>
      </c>
      <c r="BU79" s="475">
        <f t="shared" si="206"/>
        <v>0</v>
      </c>
    </row>
    <row r="80" spans="1:73" s="477" customFormat="1" x14ac:dyDescent="0.25">
      <c r="A80" s="676" t="s">
        <v>710</v>
      </c>
      <c r="B80" s="478" t="str">
        <f>'ADU-364'!$B$7</f>
        <v>Logement</v>
      </c>
      <c r="C80" s="478" t="str">
        <f>'ADU-364'!$B$8</f>
        <v>Pompes à chaleur A-E</v>
      </c>
      <c r="D80" s="478" t="str">
        <f>'ADU-364'!$C$4</f>
        <v>Logement</v>
      </c>
      <c r="E80" s="478" t="str">
        <f>'ADU-364'!$B$11</f>
        <v>Citoyen</v>
      </c>
      <c r="F80" s="468" t="str">
        <f>'ADU-364'!$B$5</f>
        <v>ECOPACK</v>
      </c>
      <c r="G80" s="596">
        <f>'ADU-364'!$B$16</f>
        <v>350000</v>
      </c>
      <c r="H80" s="468" t="str">
        <f>'ADU-364'!$B$6</f>
        <v>Prime RW</v>
      </c>
      <c r="I80" s="534">
        <f>'ADU-364'!$B$17</f>
        <v>40000</v>
      </c>
      <c r="J80" s="534">
        <f>'ADU-364'!$B$20</f>
        <v>3187.64302059496</v>
      </c>
      <c r="K80" s="534">
        <f>'ADU-364'!$B$21</f>
        <v>0</v>
      </c>
      <c r="L80" s="535">
        <f>'ADU-364'!$B$23</f>
        <v>26.665470208183823</v>
      </c>
      <c r="M80" s="536">
        <f>'ADU-364'!$B$24</f>
        <v>37.627002288329507</v>
      </c>
      <c r="N80" s="537">
        <f>IF(G80=0,0,M80/(G80-I80)*1000)</f>
        <v>0.12137742673654681</v>
      </c>
      <c r="O80" s="538" t="str">
        <f>'ADU-364'!$E$5</f>
        <v>En cours</v>
      </c>
      <c r="P80" s="474">
        <f>'ADU-364'!$B$15</f>
        <v>2020</v>
      </c>
      <c r="Q80" s="539" t="str">
        <f t="shared" si="50"/>
        <v/>
      </c>
      <c r="R80" s="475">
        <f t="shared" si="158"/>
        <v>0</v>
      </c>
      <c r="S80" s="478">
        <f t="shared" si="159"/>
        <v>0</v>
      </c>
      <c r="T80" s="478">
        <f t="shared" si="160"/>
        <v>0</v>
      </c>
      <c r="U80" s="539">
        <f t="shared" si="161"/>
        <v>0</v>
      </c>
      <c r="V80" s="478">
        <f t="shared" si="162"/>
        <v>0</v>
      </c>
      <c r="W80" s="478">
        <f t="shared" si="163"/>
        <v>0</v>
      </c>
      <c r="X80" s="478">
        <f t="shared" si="164"/>
        <v>0</v>
      </c>
      <c r="Z80" s="478">
        <f t="shared" si="165"/>
        <v>0</v>
      </c>
      <c r="AA80" s="478">
        <f t="shared" si="166"/>
        <v>0</v>
      </c>
      <c r="AB80" s="478">
        <f t="shared" si="167"/>
        <v>0</v>
      </c>
      <c r="AC80" s="478">
        <f t="shared" si="168"/>
        <v>0</v>
      </c>
      <c r="AD80" s="478">
        <f t="shared" si="169"/>
        <v>0</v>
      </c>
      <c r="AE80" s="478">
        <f t="shared" si="170"/>
        <v>0</v>
      </c>
      <c r="AF80" s="478">
        <f t="shared" si="171"/>
        <v>0</v>
      </c>
      <c r="AH80" s="478">
        <f t="shared" si="172"/>
        <v>0</v>
      </c>
      <c r="AI80" s="478">
        <f t="shared" si="173"/>
        <v>0</v>
      </c>
      <c r="AJ80" s="478">
        <f t="shared" si="174"/>
        <v>0</v>
      </c>
      <c r="AK80" s="478">
        <f t="shared" si="175"/>
        <v>0</v>
      </c>
      <c r="AL80" s="478">
        <f t="shared" si="176"/>
        <v>0</v>
      </c>
      <c r="AM80" s="478">
        <f t="shared" si="177"/>
        <v>0</v>
      </c>
      <c r="AN80" s="478">
        <f t="shared" si="178"/>
        <v>0</v>
      </c>
      <c r="AP80" s="478">
        <f t="shared" si="179"/>
        <v>0</v>
      </c>
      <c r="AQ80" s="478">
        <f t="shared" si="180"/>
        <v>0</v>
      </c>
      <c r="AR80" s="478">
        <f t="shared" si="181"/>
        <v>0</v>
      </c>
      <c r="AS80" s="478">
        <f t="shared" si="182"/>
        <v>0</v>
      </c>
      <c r="AT80" s="478">
        <f t="shared" si="183"/>
        <v>0</v>
      </c>
      <c r="AU80" s="478">
        <f t="shared" si="184"/>
        <v>0</v>
      </c>
      <c r="AV80" s="478">
        <f t="shared" si="185"/>
        <v>0</v>
      </c>
      <c r="AX80" s="478">
        <f t="shared" si="186"/>
        <v>0</v>
      </c>
      <c r="AY80" s="478">
        <f t="shared" si="187"/>
        <v>0</v>
      </c>
      <c r="AZ80" s="478">
        <f t="shared" si="188"/>
        <v>0</v>
      </c>
      <c r="BA80" s="478">
        <f t="shared" si="189"/>
        <v>0</v>
      </c>
      <c r="BB80" s="478">
        <f t="shared" si="190"/>
        <v>0</v>
      </c>
      <c r="BC80" s="478">
        <f t="shared" si="191"/>
        <v>0</v>
      </c>
      <c r="BD80" s="478">
        <f t="shared" si="192"/>
        <v>0</v>
      </c>
      <c r="BF80" s="478">
        <f t="shared" si="193"/>
        <v>0</v>
      </c>
      <c r="BG80" s="478">
        <f t="shared" si="194"/>
        <v>0</v>
      </c>
      <c r="BH80" s="478">
        <f t="shared" si="195"/>
        <v>0</v>
      </c>
      <c r="BI80" s="478">
        <f t="shared" si="196"/>
        <v>0</v>
      </c>
      <c r="BJ80" s="478">
        <f t="shared" si="197"/>
        <v>0</v>
      </c>
      <c r="BK80" s="478">
        <f t="shared" si="198"/>
        <v>0</v>
      </c>
      <c r="BM80" s="478">
        <f t="shared" si="199"/>
        <v>0</v>
      </c>
      <c r="BN80" s="478">
        <f t="shared" si="200"/>
        <v>0</v>
      </c>
      <c r="BO80" s="478">
        <f t="shared" si="201"/>
        <v>0</v>
      </c>
      <c r="BP80" s="478">
        <f t="shared" si="202"/>
        <v>0</v>
      </c>
      <c r="BQ80" s="478">
        <f t="shared" si="203"/>
        <v>0</v>
      </c>
      <c r="BR80" s="478">
        <f t="shared" si="204"/>
        <v>0</v>
      </c>
      <c r="BT80" s="475">
        <f t="shared" si="205"/>
        <v>0</v>
      </c>
      <c r="BU80" s="475">
        <f t="shared" si="206"/>
        <v>0</v>
      </c>
    </row>
    <row r="81" spans="1:73" s="576" customFormat="1" x14ac:dyDescent="0.25">
      <c r="A81" s="782" t="s">
        <v>720</v>
      </c>
      <c r="B81" s="624" t="str">
        <f>'ADU-365'!$B$7</f>
        <v>Logement</v>
      </c>
      <c r="C81" s="624" t="str">
        <f>'ADU-365'!$B$8</f>
        <v>Pompes à chaleur E-E</v>
      </c>
      <c r="D81" s="624" t="str">
        <f>'ADU-365'!$C$4</f>
        <v>Logement</v>
      </c>
      <c r="E81" s="624" t="str">
        <f>'ADU-365'!$B$11</f>
        <v>Citoyen</v>
      </c>
      <c r="F81" s="569" t="str">
        <f>'ADU-365'!$B$5</f>
        <v>Prêt bancaire</v>
      </c>
      <c r="G81" s="632">
        <f>'ADU-365'!$B$16</f>
        <v>750000</v>
      </c>
      <c r="H81" s="569" t="str">
        <f>'ADU-365'!$B$6</f>
        <v>Subs RW</v>
      </c>
      <c r="I81" s="625">
        <f>'ADU-365'!$B$17</f>
        <v>150000</v>
      </c>
      <c r="J81" s="625">
        <f>'ADU-365'!$B$20</f>
        <v>1496.1352657004827</v>
      </c>
      <c r="K81" s="625">
        <f>'ADU-365'!$B$21</f>
        <v>0</v>
      </c>
      <c r="L81" s="626">
        <f>'ADU-365'!$B$23</f>
        <v>398.02550855666783</v>
      </c>
      <c r="M81" s="627">
        <f>'ADU-365'!$B$24</f>
        <v>11.284782608695652</v>
      </c>
      <c r="N81" s="628">
        <f>IF(G81=0,0,M81/(G81-I81)*1000)</f>
        <v>1.8807971014492754E-2</v>
      </c>
      <c r="O81" s="629" t="str">
        <f>'ADU-365'!$E$5</f>
        <v>A faire</v>
      </c>
      <c r="P81" s="574">
        <f>'ADU-365'!$B$15</f>
        <v>2020</v>
      </c>
      <c r="Q81" s="655" t="str">
        <f t="shared" si="50"/>
        <v/>
      </c>
      <c r="R81" s="575">
        <f t="shared" si="158"/>
        <v>0</v>
      </c>
      <c r="S81" s="624">
        <f t="shared" si="159"/>
        <v>0</v>
      </c>
      <c r="T81" s="624">
        <f t="shared" si="160"/>
        <v>0</v>
      </c>
      <c r="U81" s="630">
        <f t="shared" si="161"/>
        <v>0</v>
      </c>
      <c r="V81" s="624">
        <f t="shared" si="162"/>
        <v>0</v>
      </c>
      <c r="W81" s="624">
        <f t="shared" si="163"/>
        <v>0</v>
      </c>
      <c r="X81" s="624">
        <f t="shared" si="164"/>
        <v>0</v>
      </c>
      <c r="Z81" s="624">
        <f t="shared" si="165"/>
        <v>0</v>
      </c>
      <c r="AA81" s="624">
        <f t="shared" si="166"/>
        <v>0</v>
      </c>
      <c r="AB81" s="624">
        <f t="shared" si="167"/>
        <v>0</v>
      </c>
      <c r="AC81" s="624">
        <f t="shared" si="168"/>
        <v>0</v>
      </c>
      <c r="AD81" s="624">
        <f t="shared" si="169"/>
        <v>0</v>
      </c>
      <c r="AE81" s="624">
        <f t="shared" si="170"/>
        <v>0</v>
      </c>
      <c r="AF81" s="624">
        <f t="shared" si="171"/>
        <v>0</v>
      </c>
      <c r="AH81" s="624">
        <f t="shared" si="172"/>
        <v>0</v>
      </c>
      <c r="AI81" s="624">
        <f t="shared" si="173"/>
        <v>0</v>
      </c>
      <c r="AJ81" s="624">
        <f t="shared" si="174"/>
        <v>0</v>
      </c>
      <c r="AK81" s="624">
        <f t="shared" si="175"/>
        <v>0</v>
      </c>
      <c r="AL81" s="624">
        <f t="shared" si="176"/>
        <v>0</v>
      </c>
      <c r="AM81" s="624">
        <f t="shared" si="177"/>
        <v>0</v>
      </c>
      <c r="AN81" s="624">
        <f t="shared" si="178"/>
        <v>0</v>
      </c>
      <c r="AP81" s="624">
        <f t="shared" si="179"/>
        <v>0</v>
      </c>
      <c r="AQ81" s="624">
        <f t="shared" si="180"/>
        <v>0</v>
      </c>
      <c r="AR81" s="624">
        <f t="shared" si="181"/>
        <v>0</v>
      </c>
      <c r="AS81" s="624">
        <f t="shared" si="182"/>
        <v>0</v>
      </c>
      <c r="AT81" s="624">
        <f t="shared" si="183"/>
        <v>0</v>
      </c>
      <c r="AU81" s="624">
        <f t="shared" si="184"/>
        <v>0</v>
      </c>
      <c r="AV81" s="624">
        <f t="shared" si="185"/>
        <v>0</v>
      </c>
      <c r="AX81" s="624">
        <f t="shared" si="186"/>
        <v>0</v>
      </c>
      <c r="AY81" s="624">
        <f t="shared" si="187"/>
        <v>0</v>
      </c>
      <c r="AZ81" s="624">
        <f t="shared" si="188"/>
        <v>0</v>
      </c>
      <c r="BA81" s="624">
        <f t="shared" si="189"/>
        <v>0</v>
      </c>
      <c r="BB81" s="624">
        <f t="shared" si="190"/>
        <v>0</v>
      </c>
      <c r="BC81" s="624">
        <f t="shared" si="191"/>
        <v>0</v>
      </c>
      <c r="BD81" s="624">
        <f t="shared" si="192"/>
        <v>0</v>
      </c>
      <c r="BF81" s="624">
        <f t="shared" si="193"/>
        <v>0</v>
      </c>
      <c r="BG81" s="624">
        <f t="shared" si="194"/>
        <v>0</v>
      </c>
      <c r="BH81" s="624">
        <f t="shared" si="195"/>
        <v>0</v>
      </c>
      <c r="BI81" s="624">
        <f t="shared" si="196"/>
        <v>0</v>
      </c>
      <c r="BJ81" s="624">
        <f t="shared" si="197"/>
        <v>0</v>
      </c>
      <c r="BK81" s="624">
        <f t="shared" si="198"/>
        <v>0</v>
      </c>
      <c r="BM81" s="624">
        <f t="shared" si="199"/>
        <v>0</v>
      </c>
      <c r="BN81" s="624">
        <f t="shared" si="200"/>
        <v>0</v>
      </c>
      <c r="BO81" s="624">
        <f t="shared" si="201"/>
        <v>0</v>
      </c>
      <c r="BP81" s="624">
        <f t="shared" si="202"/>
        <v>0</v>
      </c>
      <c r="BQ81" s="624">
        <f t="shared" si="203"/>
        <v>0</v>
      </c>
      <c r="BR81" s="624">
        <f t="shared" si="204"/>
        <v>0</v>
      </c>
      <c r="BT81" s="575">
        <f t="shared" si="205"/>
        <v>0</v>
      </c>
      <c r="BU81" s="575">
        <f t="shared" si="206"/>
        <v>11.284782608695652</v>
      </c>
    </row>
    <row r="82" spans="1:73" s="516" customFormat="1" x14ac:dyDescent="0.25">
      <c r="A82" s="647" t="s">
        <v>480</v>
      </c>
      <c r="B82" s="507" t="str">
        <f>'ADU-37'!$B$7</f>
        <v>Réseau de haies</v>
      </c>
      <c r="C82" s="507" t="str">
        <f>'ADU-37'!$B$8</f>
        <v>Réintroduction de haies vives</v>
      </c>
      <c r="D82" s="507" t="str">
        <f>'ADU-37'!$C$4</f>
        <v>Territoire</v>
      </c>
      <c r="E82" s="507" t="str">
        <f>'ADU-37'!$B$11</f>
        <v>AC HABAY</v>
      </c>
      <c r="F82" s="508" t="str">
        <f>'ADU-37'!$B$5</f>
        <v>Fonds propres</v>
      </c>
      <c r="G82" s="594">
        <f>'ADU-37'!$B$16</f>
        <v>12000</v>
      </c>
      <c r="H82" s="508" t="str">
        <f>'ADU-37'!$B$6</f>
        <v>Subs RW</v>
      </c>
      <c r="I82" s="509">
        <f>'ADU-37'!$B$17</f>
        <v>8400</v>
      </c>
      <c r="J82" s="509">
        <f>'ADU-37'!$B$20</f>
        <v>1</v>
      </c>
      <c r="K82" s="509">
        <f>'ADU-37'!$B$21</f>
        <v>0</v>
      </c>
      <c r="L82" s="507">
        <f>'ADU-37'!$B$23</f>
        <v>3600</v>
      </c>
      <c r="M82" s="510">
        <f>'ADU-37'!$B$24</f>
        <v>72.417599999999993</v>
      </c>
      <c r="N82" s="511">
        <f t="shared" si="157"/>
        <v>20.116</v>
      </c>
      <c r="O82" s="512" t="str">
        <f>'ADU-37'!$E$5</f>
        <v>Terminé</v>
      </c>
      <c r="P82" s="513">
        <f>'ADU-37'!$B$15</f>
        <v>2020</v>
      </c>
      <c r="Q82" s="515">
        <f t="shared" si="50"/>
        <v>72.417599999999993</v>
      </c>
      <c r="R82" s="514">
        <f t="shared" si="158"/>
        <v>72.417599999999993</v>
      </c>
      <c r="S82" s="515">
        <f t="shared" si="159"/>
        <v>0</v>
      </c>
      <c r="T82" s="507">
        <f t="shared" si="160"/>
        <v>0</v>
      </c>
      <c r="U82" s="507">
        <f t="shared" si="161"/>
        <v>0</v>
      </c>
      <c r="V82" s="507">
        <f t="shared" si="162"/>
        <v>0</v>
      </c>
      <c r="W82" s="507">
        <f t="shared" si="163"/>
        <v>0</v>
      </c>
      <c r="X82" s="507">
        <f t="shared" si="164"/>
        <v>0</v>
      </c>
      <c r="Z82" s="507">
        <f t="shared" si="165"/>
        <v>12000</v>
      </c>
      <c r="AA82" s="507">
        <f t="shared" si="166"/>
        <v>0</v>
      </c>
      <c r="AB82" s="507">
        <f t="shared" si="167"/>
        <v>0</v>
      </c>
      <c r="AC82" s="507">
        <f t="shared" si="168"/>
        <v>0</v>
      </c>
      <c r="AD82" s="507">
        <f t="shared" si="169"/>
        <v>0</v>
      </c>
      <c r="AE82" s="507">
        <f t="shared" si="170"/>
        <v>0</v>
      </c>
      <c r="AF82" s="507">
        <f t="shared" si="171"/>
        <v>0</v>
      </c>
      <c r="AH82" s="507">
        <f t="shared" si="172"/>
        <v>8400</v>
      </c>
      <c r="AI82" s="507">
        <f t="shared" si="173"/>
        <v>0</v>
      </c>
      <c r="AJ82" s="507">
        <f t="shared" si="174"/>
        <v>0</v>
      </c>
      <c r="AK82" s="507">
        <f t="shared" si="175"/>
        <v>0</v>
      </c>
      <c r="AL82" s="507">
        <f t="shared" si="176"/>
        <v>0</v>
      </c>
      <c r="AM82" s="507">
        <f t="shared" si="177"/>
        <v>0</v>
      </c>
      <c r="AN82" s="507">
        <f t="shared" si="178"/>
        <v>0</v>
      </c>
      <c r="AP82" s="507">
        <f t="shared" si="179"/>
        <v>1</v>
      </c>
      <c r="AQ82" s="507">
        <f t="shared" si="180"/>
        <v>0</v>
      </c>
      <c r="AR82" s="507">
        <f t="shared" si="181"/>
        <v>0</v>
      </c>
      <c r="AS82" s="507">
        <f t="shared" si="182"/>
        <v>0</v>
      </c>
      <c r="AT82" s="507">
        <f t="shared" si="183"/>
        <v>0</v>
      </c>
      <c r="AU82" s="507">
        <f t="shared" si="184"/>
        <v>0</v>
      </c>
      <c r="AV82" s="507">
        <f t="shared" si="185"/>
        <v>0</v>
      </c>
      <c r="AX82" s="507">
        <f t="shared" si="186"/>
        <v>0</v>
      </c>
      <c r="AY82" s="507">
        <f t="shared" si="187"/>
        <v>0</v>
      </c>
      <c r="AZ82" s="507">
        <f t="shared" si="188"/>
        <v>0</v>
      </c>
      <c r="BA82" s="507">
        <f t="shared" si="189"/>
        <v>0</v>
      </c>
      <c r="BB82" s="507">
        <f t="shared" si="190"/>
        <v>0</v>
      </c>
      <c r="BC82" s="507">
        <f t="shared" si="191"/>
        <v>0</v>
      </c>
      <c r="BD82" s="507">
        <f t="shared" si="192"/>
        <v>0</v>
      </c>
      <c r="BF82" s="507">
        <f t="shared" si="193"/>
        <v>0</v>
      </c>
      <c r="BG82" s="507">
        <f t="shared" si="194"/>
        <v>0</v>
      </c>
      <c r="BH82" s="507">
        <f t="shared" si="195"/>
        <v>0</v>
      </c>
      <c r="BI82" s="507">
        <f t="shared" si="196"/>
        <v>0</v>
      </c>
      <c r="BJ82" s="507">
        <f t="shared" si="197"/>
        <v>12000</v>
      </c>
      <c r="BK82" s="507">
        <f t="shared" si="198"/>
        <v>0</v>
      </c>
      <c r="BM82" s="507">
        <f t="shared" si="199"/>
        <v>0</v>
      </c>
      <c r="BN82" s="507">
        <f t="shared" si="200"/>
        <v>0</v>
      </c>
      <c r="BO82" s="507">
        <f t="shared" si="201"/>
        <v>0</v>
      </c>
      <c r="BP82" s="507">
        <f t="shared" si="202"/>
        <v>0</v>
      </c>
      <c r="BQ82" s="507">
        <f t="shared" si="203"/>
        <v>8400</v>
      </c>
      <c r="BR82" s="507">
        <f t="shared" si="204"/>
        <v>0</v>
      </c>
      <c r="BT82" s="514">
        <f t="shared" si="205"/>
        <v>72.417599999999993</v>
      </c>
      <c r="BU82" s="514">
        <f t="shared" si="206"/>
        <v>0</v>
      </c>
    </row>
    <row r="83" spans="1:73" s="516" customFormat="1" x14ac:dyDescent="0.25">
      <c r="A83" s="647" t="s">
        <v>905</v>
      </c>
      <c r="B83" s="507" t="str">
        <f>'ADU-371'!$B$7</f>
        <v>Réseau de haies</v>
      </c>
      <c r="C83" s="507" t="str">
        <f>'ADU-371'!$B$8</f>
        <v>Réintroduction de haies vives</v>
      </c>
      <c r="D83" s="507" t="str">
        <f>'ADU-371'!$C$4</f>
        <v>Agriculture</v>
      </c>
      <c r="E83" s="507" t="str">
        <f>'ADU-371'!$B$11</f>
        <v>Agriculture</v>
      </c>
      <c r="F83" s="508" t="str">
        <f>'ADU-371'!$B$5</f>
        <v>Fonds propres</v>
      </c>
      <c r="G83" s="594">
        <f>'ADU-371'!$B$16</f>
        <v>15000</v>
      </c>
      <c r="H83" s="508" t="str">
        <f>'ADU-371'!$B$6</f>
        <v>Subs RW</v>
      </c>
      <c r="I83" s="509">
        <f>'ADU-371'!$B$17</f>
        <v>10500</v>
      </c>
      <c r="J83" s="509">
        <f>'ADU-371'!$B$20</f>
        <v>1</v>
      </c>
      <c r="K83" s="509">
        <f>'ADU-371'!$B$21</f>
        <v>0</v>
      </c>
      <c r="L83" s="518">
        <f>'ADU-371'!$B$23</f>
        <v>4500</v>
      </c>
      <c r="M83" s="510">
        <f>'ADU-371'!$B$24</f>
        <v>90.522000000000006</v>
      </c>
      <c r="N83" s="511">
        <f t="shared" ref="N83" si="262">IF(G83=0,0,M83/(G83-I83)*1000)</f>
        <v>20.116000000000003</v>
      </c>
      <c r="O83" s="512" t="str">
        <f>'ADU-371'!$E$5</f>
        <v>A faire</v>
      </c>
      <c r="P83" s="513">
        <f>'ADU-371'!$B$15</f>
        <v>2020</v>
      </c>
      <c r="Q83" s="515" t="str">
        <f t="shared" ref="Q83" si="263">IF(O83="terminé", M83,"")</f>
        <v/>
      </c>
      <c r="R83" s="514">
        <f t="shared" si="158"/>
        <v>0</v>
      </c>
      <c r="S83" s="515">
        <f t="shared" si="159"/>
        <v>0</v>
      </c>
      <c r="T83" s="507">
        <f t="shared" si="160"/>
        <v>0</v>
      </c>
      <c r="U83" s="507">
        <f t="shared" si="161"/>
        <v>0</v>
      </c>
      <c r="V83" s="507">
        <f t="shared" si="162"/>
        <v>0</v>
      </c>
      <c r="W83" s="507">
        <f t="shared" si="163"/>
        <v>0</v>
      </c>
      <c r="X83" s="507">
        <f t="shared" si="164"/>
        <v>0</v>
      </c>
      <c r="Z83" s="507">
        <f t="shared" si="165"/>
        <v>0</v>
      </c>
      <c r="AA83" s="507">
        <f t="shared" si="166"/>
        <v>0</v>
      </c>
      <c r="AB83" s="507">
        <f t="shared" si="167"/>
        <v>0</v>
      </c>
      <c r="AC83" s="507">
        <f t="shared" si="168"/>
        <v>0</v>
      </c>
      <c r="AD83" s="507">
        <f t="shared" si="169"/>
        <v>0</v>
      </c>
      <c r="AE83" s="507">
        <f t="shared" si="170"/>
        <v>0</v>
      </c>
      <c r="AF83" s="507">
        <f t="shared" si="171"/>
        <v>0</v>
      </c>
      <c r="AH83" s="507">
        <f t="shared" si="172"/>
        <v>0</v>
      </c>
      <c r="AI83" s="507">
        <f t="shared" si="173"/>
        <v>0</v>
      </c>
      <c r="AJ83" s="507">
        <f t="shared" si="174"/>
        <v>0</v>
      </c>
      <c r="AK83" s="507">
        <f t="shared" si="175"/>
        <v>0</v>
      </c>
      <c r="AL83" s="507">
        <f t="shared" si="176"/>
        <v>0</v>
      </c>
      <c r="AM83" s="507">
        <f t="shared" si="177"/>
        <v>0</v>
      </c>
      <c r="AN83" s="507">
        <f t="shared" si="178"/>
        <v>0</v>
      </c>
      <c r="AP83" s="507">
        <f t="shared" si="179"/>
        <v>0</v>
      </c>
      <c r="AQ83" s="507">
        <f t="shared" si="180"/>
        <v>0</v>
      </c>
      <c r="AR83" s="507">
        <f t="shared" si="181"/>
        <v>0</v>
      </c>
      <c r="AS83" s="507">
        <f t="shared" si="182"/>
        <v>0</v>
      </c>
      <c r="AT83" s="507">
        <f t="shared" si="183"/>
        <v>0</v>
      </c>
      <c r="AU83" s="507">
        <f t="shared" si="184"/>
        <v>0</v>
      </c>
      <c r="AV83" s="507">
        <f t="shared" si="185"/>
        <v>0</v>
      </c>
      <c r="AX83" s="507">
        <f t="shared" si="186"/>
        <v>0</v>
      </c>
      <c r="AY83" s="507">
        <f t="shared" si="187"/>
        <v>0</v>
      </c>
      <c r="AZ83" s="507">
        <f t="shared" si="188"/>
        <v>0</v>
      </c>
      <c r="BA83" s="507">
        <f t="shared" si="189"/>
        <v>0</v>
      </c>
      <c r="BB83" s="507">
        <f t="shared" si="190"/>
        <v>0</v>
      </c>
      <c r="BC83" s="507">
        <f t="shared" si="191"/>
        <v>0</v>
      </c>
      <c r="BD83" s="507">
        <f t="shared" si="192"/>
        <v>0</v>
      </c>
      <c r="BF83" s="507">
        <f t="shared" si="193"/>
        <v>0</v>
      </c>
      <c r="BG83" s="507">
        <f t="shared" si="194"/>
        <v>0</v>
      </c>
      <c r="BH83" s="507">
        <f t="shared" si="195"/>
        <v>0</v>
      </c>
      <c r="BI83" s="507">
        <f t="shared" si="196"/>
        <v>0</v>
      </c>
      <c r="BJ83" s="507">
        <f t="shared" si="197"/>
        <v>0</v>
      </c>
      <c r="BK83" s="507">
        <f t="shared" si="198"/>
        <v>0</v>
      </c>
      <c r="BM83" s="507">
        <f t="shared" si="199"/>
        <v>0</v>
      </c>
      <c r="BN83" s="507">
        <f t="shared" si="200"/>
        <v>0</v>
      </c>
      <c r="BO83" s="507">
        <f t="shared" si="201"/>
        <v>0</v>
      </c>
      <c r="BP83" s="507">
        <f t="shared" si="202"/>
        <v>0</v>
      </c>
      <c r="BQ83" s="507">
        <f t="shared" si="203"/>
        <v>0</v>
      </c>
      <c r="BR83" s="507">
        <f t="shared" si="204"/>
        <v>0</v>
      </c>
      <c r="BT83" s="514">
        <f t="shared" si="205"/>
        <v>0</v>
      </c>
      <c r="BU83" s="514">
        <f t="shared" si="206"/>
        <v>90.522000000000006</v>
      </c>
    </row>
    <row r="84" spans="1:73" s="516" customFormat="1" x14ac:dyDescent="0.25">
      <c r="A84" s="647" t="s">
        <v>479</v>
      </c>
      <c r="B84" s="507" t="str">
        <f>'ADU-38'!$B$7</f>
        <v>Séquestration de CO2</v>
      </c>
      <c r="C84" s="507" t="str">
        <f>'ADU-38'!$B$8</f>
        <v>Vergers conservateurs</v>
      </c>
      <c r="D84" s="507" t="str">
        <f>'ADU-38'!$C$4</f>
        <v>Territoire</v>
      </c>
      <c r="E84" s="507" t="str">
        <f>'ADU-38'!$B$11</f>
        <v>AC HABAY</v>
      </c>
      <c r="F84" s="508" t="str">
        <f>'ADU-38'!$B$5</f>
        <v>Fonds propres</v>
      </c>
      <c r="G84" s="594">
        <f>'ADU-38'!$B$16</f>
        <v>54000</v>
      </c>
      <c r="H84" s="508" t="str">
        <f>'ADU-38'!$B$6</f>
        <v>Subs RW</v>
      </c>
      <c r="I84" s="509">
        <f>'ADU-38'!$B$17</f>
        <v>37800</v>
      </c>
      <c r="J84" s="509">
        <f>'ADU-38'!$B$20</f>
        <v>1</v>
      </c>
      <c r="K84" s="509">
        <f>'ADU-38'!$B$21</f>
        <v>0</v>
      </c>
      <c r="L84" s="507">
        <f>'ADU-38'!$B$23</f>
        <v>16200</v>
      </c>
      <c r="M84" s="510">
        <f>'ADU-38'!$B$24</f>
        <v>810</v>
      </c>
      <c r="N84" s="511">
        <f t="shared" si="157"/>
        <v>50</v>
      </c>
      <c r="O84" s="512" t="str">
        <f>'ADU-38'!$E$5</f>
        <v>Terminé</v>
      </c>
      <c r="P84" s="513">
        <f>'ADU-38'!$B$15</f>
        <v>2020</v>
      </c>
      <c r="Q84" s="515">
        <f t="shared" si="50"/>
        <v>810</v>
      </c>
      <c r="R84" s="514">
        <f t="shared" si="158"/>
        <v>810</v>
      </c>
      <c r="S84" s="515">
        <f t="shared" si="159"/>
        <v>0</v>
      </c>
      <c r="T84" s="507">
        <f t="shared" si="160"/>
        <v>0</v>
      </c>
      <c r="U84" s="507">
        <f t="shared" si="161"/>
        <v>0</v>
      </c>
      <c r="V84" s="507">
        <f t="shared" si="162"/>
        <v>0</v>
      </c>
      <c r="W84" s="507">
        <f t="shared" si="163"/>
        <v>0</v>
      </c>
      <c r="X84" s="507">
        <f t="shared" si="164"/>
        <v>0</v>
      </c>
      <c r="Z84" s="507">
        <f t="shared" si="165"/>
        <v>54000</v>
      </c>
      <c r="AA84" s="507">
        <f t="shared" si="166"/>
        <v>0</v>
      </c>
      <c r="AB84" s="507">
        <f t="shared" si="167"/>
        <v>0</v>
      </c>
      <c r="AC84" s="507">
        <f t="shared" si="168"/>
        <v>0</v>
      </c>
      <c r="AD84" s="507">
        <f t="shared" si="169"/>
        <v>0</v>
      </c>
      <c r="AE84" s="507">
        <f t="shared" si="170"/>
        <v>0</v>
      </c>
      <c r="AF84" s="507">
        <f t="shared" si="171"/>
        <v>0</v>
      </c>
      <c r="AH84" s="507">
        <f t="shared" si="172"/>
        <v>37800</v>
      </c>
      <c r="AI84" s="507">
        <f t="shared" si="173"/>
        <v>0</v>
      </c>
      <c r="AJ84" s="507">
        <f t="shared" si="174"/>
        <v>0</v>
      </c>
      <c r="AK84" s="507">
        <f t="shared" si="175"/>
        <v>0</v>
      </c>
      <c r="AL84" s="507">
        <f t="shared" si="176"/>
        <v>0</v>
      </c>
      <c r="AM84" s="507">
        <f t="shared" si="177"/>
        <v>0</v>
      </c>
      <c r="AN84" s="507">
        <f t="shared" si="178"/>
        <v>0</v>
      </c>
      <c r="AP84" s="507">
        <f t="shared" si="179"/>
        <v>1</v>
      </c>
      <c r="AQ84" s="507">
        <f t="shared" si="180"/>
        <v>0</v>
      </c>
      <c r="AR84" s="507">
        <f t="shared" si="181"/>
        <v>0</v>
      </c>
      <c r="AS84" s="507">
        <f t="shared" si="182"/>
        <v>0</v>
      </c>
      <c r="AT84" s="507">
        <f t="shared" si="183"/>
        <v>0</v>
      </c>
      <c r="AU84" s="507">
        <f t="shared" si="184"/>
        <v>0</v>
      </c>
      <c r="AV84" s="507">
        <f t="shared" si="185"/>
        <v>0</v>
      </c>
      <c r="AX84" s="507">
        <f t="shared" si="186"/>
        <v>0</v>
      </c>
      <c r="AY84" s="507">
        <f t="shared" si="187"/>
        <v>0</v>
      </c>
      <c r="AZ84" s="507">
        <f t="shared" si="188"/>
        <v>0</v>
      </c>
      <c r="BA84" s="507">
        <f t="shared" si="189"/>
        <v>0</v>
      </c>
      <c r="BB84" s="507">
        <f t="shared" si="190"/>
        <v>0</v>
      </c>
      <c r="BC84" s="507">
        <f t="shared" si="191"/>
        <v>0</v>
      </c>
      <c r="BD84" s="507">
        <f t="shared" si="192"/>
        <v>0</v>
      </c>
      <c r="BF84" s="507">
        <f t="shared" si="193"/>
        <v>0</v>
      </c>
      <c r="BG84" s="507">
        <f t="shared" si="194"/>
        <v>0</v>
      </c>
      <c r="BH84" s="507">
        <f t="shared" si="195"/>
        <v>0</v>
      </c>
      <c r="BI84" s="507">
        <f t="shared" si="196"/>
        <v>0</v>
      </c>
      <c r="BJ84" s="507">
        <f t="shared" si="197"/>
        <v>54000</v>
      </c>
      <c r="BK84" s="507">
        <f t="shared" si="198"/>
        <v>0</v>
      </c>
      <c r="BM84" s="507">
        <f t="shared" si="199"/>
        <v>0</v>
      </c>
      <c r="BN84" s="507">
        <f t="shared" si="200"/>
        <v>0</v>
      </c>
      <c r="BO84" s="507">
        <f t="shared" si="201"/>
        <v>0</v>
      </c>
      <c r="BP84" s="507">
        <f t="shared" si="202"/>
        <v>0</v>
      </c>
      <c r="BQ84" s="507">
        <f t="shared" si="203"/>
        <v>37800</v>
      </c>
      <c r="BR84" s="507">
        <f t="shared" si="204"/>
        <v>0</v>
      </c>
      <c r="BT84" s="514">
        <f t="shared" si="205"/>
        <v>810</v>
      </c>
      <c r="BU84" s="514">
        <f t="shared" si="206"/>
        <v>0</v>
      </c>
    </row>
    <row r="85" spans="1:73" s="516" customFormat="1" x14ac:dyDescent="0.25">
      <c r="A85" s="647" t="s">
        <v>719</v>
      </c>
      <c r="B85" s="507" t="str">
        <f>'ADU-381'!$B$7</f>
        <v>Séquestration de CO2 par reboisement</v>
      </c>
      <c r="C85" s="507" t="str">
        <f>'ADU-381'!$B$8</f>
        <v>Reboisement d'aires non valorisées</v>
      </c>
      <c r="D85" s="507" t="str">
        <f>'ADU-381'!$C$4</f>
        <v>Territoire</v>
      </c>
      <c r="E85" s="507" t="str">
        <f>'ADU-381'!$B$11</f>
        <v>AC HABAY</v>
      </c>
      <c r="F85" s="508" t="str">
        <f>'ADU-381'!$B$5</f>
        <v>Fonds propres</v>
      </c>
      <c r="G85" s="594">
        <f>'ADU-381'!$B$16</f>
        <v>12000</v>
      </c>
      <c r="H85" s="508" t="str">
        <f>'ADU-381'!$B$6</f>
        <v>Subs RW</v>
      </c>
      <c r="I85" s="509">
        <f>'ADU-381'!$B$17</f>
        <v>8400</v>
      </c>
      <c r="J85" s="509">
        <f>'ADU-381'!$B$20</f>
        <v>1</v>
      </c>
      <c r="K85" s="509">
        <f>'ADU-381'!$B$21</f>
        <v>0</v>
      </c>
      <c r="L85" s="518">
        <f>'ADU-381'!$B$23</f>
        <v>3600</v>
      </c>
      <c r="M85" s="510">
        <f>'ADU-381'!$B$24</f>
        <v>270</v>
      </c>
      <c r="N85" s="511">
        <f>IF(G85=0,0,M85/(G85-I85)*1000)</f>
        <v>75</v>
      </c>
      <c r="O85" s="512" t="str">
        <f>'ADU-381'!$E$5</f>
        <v>Terminé</v>
      </c>
      <c r="P85" s="513">
        <f>'ADU-381'!$B$15</f>
        <v>2015</v>
      </c>
      <c r="Q85" s="515">
        <f t="shared" si="50"/>
        <v>270</v>
      </c>
      <c r="R85" s="514">
        <f t="shared" si="158"/>
        <v>270</v>
      </c>
      <c r="S85" s="515">
        <f t="shared" si="159"/>
        <v>0</v>
      </c>
      <c r="T85" s="507">
        <f t="shared" si="160"/>
        <v>0</v>
      </c>
      <c r="U85" s="507">
        <f t="shared" si="161"/>
        <v>0</v>
      </c>
      <c r="V85" s="507">
        <f t="shared" si="162"/>
        <v>0</v>
      </c>
      <c r="W85" s="507">
        <f t="shared" si="163"/>
        <v>0</v>
      </c>
      <c r="X85" s="507">
        <f t="shared" si="164"/>
        <v>0</v>
      </c>
      <c r="Z85" s="507">
        <f t="shared" si="165"/>
        <v>12000</v>
      </c>
      <c r="AA85" s="507">
        <f t="shared" si="166"/>
        <v>0</v>
      </c>
      <c r="AB85" s="507">
        <f t="shared" si="167"/>
        <v>0</v>
      </c>
      <c r="AC85" s="507">
        <f t="shared" si="168"/>
        <v>0</v>
      </c>
      <c r="AD85" s="507">
        <f t="shared" si="169"/>
        <v>0</v>
      </c>
      <c r="AE85" s="507">
        <f t="shared" si="170"/>
        <v>0</v>
      </c>
      <c r="AF85" s="507">
        <f t="shared" si="171"/>
        <v>0</v>
      </c>
      <c r="AH85" s="507">
        <f t="shared" si="172"/>
        <v>8400</v>
      </c>
      <c r="AI85" s="507">
        <f t="shared" si="173"/>
        <v>0</v>
      </c>
      <c r="AJ85" s="507">
        <f t="shared" si="174"/>
        <v>0</v>
      </c>
      <c r="AK85" s="507">
        <f t="shared" si="175"/>
        <v>0</v>
      </c>
      <c r="AL85" s="507">
        <f t="shared" si="176"/>
        <v>0</v>
      </c>
      <c r="AM85" s="507">
        <f t="shared" si="177"/>
        <v>0</v>
      </c>
      <c r="AN85" s="507">
        <f t="shared" si="178"/>
        <v>0</v>
      </c>
      <c r="AP85" s="507">
        <f t="shared" si="179"/>
        <v>1</v>
      </c>
      <c r="AQ85" s="507">
        <f t="shared" si="180"/>
        <v>0</v>
      </c>
      <c r="AR85" s="507">
        <f t="shared" si="181"/>
        <v>0</v>
      </c>
      <c r="AS85" s="507">
        <f t="shared" si="182"/>
        <v>0</v>
      </c>
      <c r="AT85" s="507">
        <f t="shared" si="183"/>
        <v>0</v>
      </c>
      <c r="AU85" s="507">
        <f t="shared" si="184"/>
        <v>0</v>
      </c>
      <c r="AV85" s="507">
        <f t="shared" si="185"/>
        <v>0</v>
      </c>
      <c r="AX85" s="507">
        <f t="shared" si="186"/>
        <v>0</v>
      </c>
      <c r="AY85" s="507">
        <f t="shared" si="187"/>
        <v>0</v>
      </c>
      <c r="AZ85" s="507">
        <f t="shared" si="188"/>
        <v>0</v>
      </c>
      <c r="BA85" s="507">
        <f t="shared" si="189"/>
        <v>0</v>
      </c>
      <c r="BB85" s="507">
        <f t="shared" si="190"/>
        <v>0</v>
      </c>
      <c r="BC85" s="507">
        <f t="shared" si="191"/>
        <v>0</v>
      </c>
      <c r="BD85" s="507">
        <f t="shared" si="192"/>
        <v>0</v>
      </c>
      <c r="BF85" s="507">
        <f t="shared" si="193"/>
        <v>0</v>
      </c>
      <c r="BG85" s="507">
        <f t="shared" si="194"/>
        <v>0</v>
      </c>
      <c r="BH85" s="507">
        <f t="shared" si="195"/>
        <v>0</v>
      </c>
      <c r="BI85" s="507">
        <f t="shared" si="196"/>
        <v>0</v>
      </c>
      <c r="BJ85" s="507">
        <f t="shared" si="197"/>
        <v>12000</v>
      </c>
      <c r="BK85" s="507">
        <f t="shared" si="198"/>
        <v>0</v>
      </c>
      <c r="BM85" s="507">
        <f t="shared" si="199"/>
        <v>0</v>
      </c>
      <c r="BN85" s="507">
        <f t="shared" si="200"/>
        <v>0</v>
      </c>
      <c r="BO85" s="507">
        <f t="shared" si="201"/>
        <v>0</v>
      </c>
      <c r="BP85" s="507">
        <f t="shared" si="202"/>
        <v>0</v>
      </c>
      <c r="BQ85" s="507">
        <f t="shared" si="203"/>
        <v>8400</v>
      </c>
      <c r="BR85" s="507">
        <f t="shared" si="204"/>
        <v>0</v>
      </c>
      <c r="BT85" s="514">
        <f t="shared" si="205"/>
        <v>270</v>
      </c>
      <c r="BU85" s="514">
        <f t="shared" si="206"/>
        <v>0</v>
      </c>
    </row>
    <row r="86" spans="1:73" s="516" customFormat="1" x14ac:dyDescent="0.25">
      <c r="A86" s="647" t="s">
        <v>800</v>
      </c>
      <c r="B86" s="507" t="str">
        <f>'ADU-389'!$B$7</f>
        <v>Production de combustible biomasse</v>
      </c>
      <c r="C86" s="507" t="str">
        <f>'ADU-389'!$B$8</f>
        <v>Culture de myscanthus</v>
      </c>
      <c r="D86" s="507" t="str">
        <f>'ADU-389'!$C$4</f>
        <v>Agriculture</v>
      </c>
      <c r="E86" s="507" t="str">
        <f>'ADU-389'!$B$11</f>
        <v>Agriculture</v>
      </c>
      <c r="F86" s="508" t="str">
        <f>'ADU-389'!$B$5</f>
        <v>Fonds propres</v>
      </c>
      <c r="G86" s="595">
        <f>'ADU-389'!$B$16</f>
        <v>10000</v>
      </c>
      <c r="H86" s="508" t="str">
        <f>'ADU-389'!$B$6</f>
        <v>Subs RW</v>
      </c>
      <c r="I86" s="509">
        <f>'ADU-389'!$B$17</f>
        <v>7000</v>
      </c>
      <c r="J86" s="509">
        <f>'ADU-389'!$B$20</f>
        <v>28000</v>
      </c>
      <c r="K86" s="509">
        <f>'ADU-389'!$B$21</f>
        <v>0</v>
      </c>
      <c r="L86" s="518">
        <f>'ADU-389'!$B$23</f>
        <v>0.10714285714285714</v>
      </c>
      <c r="M86" s="510">
        <f>'ADU-389'!$B$24</f>
        <v>522</v>
      </c>
      <c r="N86" s="511">
        <f>IF(G86=0,0,M86/(G86-I86)*1000)</f>
        <v>174</v>
      </c>
      <c r="O86" s="512" t="str">
        <f>'ADU-389'!$E$5</f>
        <v>A faire</v>
      </c>
      <c r="P86" s="513">
        <f>'ADU-389'!$B$15</f>
        <v>2020</v>
      </c>
      <c r="Q86" s="515" t="str">
        <f t="shared" ref="Q86:Q89" si="264">IF(O86="terminé", M86,"")</f>
        <v/>
      </c>
      <c r="R86" s="514">
        <f t="shared" si="158"/>
        <v>0</v>
      </c>
      <c r="S86" s="515">
        <f t="shared" si="159"/>
        <v>0</v>
      </c>
      <c r="T86" s="507">
        <f t="shared" si="160"/>
        <v>0</v>
      </c>
      <c r="U86" s="507">
        <f t="shared" si="161"/>
        <v>0</v>
      </c>
      <c r="V86" s="507">
        <f t="shared" si="162"/>
        <v>0</v>
      </c>
      <c r="W86" s="507">
        <f t="shared" si="163"/>
        <v>0</v>
      </c>
      <c r="X86" s="507">
        <f t="shared" si="164"/>
        <v>0</v>
      </c>
      <c r="Z86" s="507">
        <f t="shared" si="165"/>
        <v>0</v>
      </c>
      <c r="AA86" s="507">
        <f t="shared" si="166"/>
        <v>0</v>
      </c>
      <c r="AB86" s="507">
        <f t="shared" si="167"/>
        <v>0</v>
      </c>
      <c r="AC86" s="507">
        <f t="shared" si="168"/>
        <v>0</v>
      </c>
      <c r="AD86" s="507">
        <f t="shared" si="169"/>
        <v>0</v>
      </c>
      <c r="AE86" s="507">
        <f t="shared" si="170"/>
        <v>0</v>
      </c>
      <c r="AF86" s="507">
        <f t="shared" si="171"/>
        <v>0</v>
      </c>
      <c r="AH86" s="507">
        <f t="shared" si="172"/>
        <v>0</v>
      </c>
      <c r="AI86" s="507">
        <f t="shared" si="173"/>
        <v>0</v>
      </c>
      <c r="AJ86" s="507">
        <f t="shared" si="174"/>
        <v>0</v>
      </c>
      <c r="AK86" s="507">
        <f t="shared" si="175"/>
        <v>0</v>
      </c>
      <c r="AL86" s="507">
        <f t="shared" si="176"/>
        <v>0</v>
      </c>
      <c r="AM86" s="507">
        <f t="shared" si="177"/>
        <v>0</v>
      </c>
      <c r="AN86" s="507">
        <f t="shared" si="178"/>
        <v>0</v>
      </c>
      <c r="AP86" s="507">
        <f t="shared" si="179"/>
        <v>0</v>
      </c>
      <c r="AQ86" s="507">
        <f t="shared" si="180"/>
        <v>0</v>
      </c>
      <c r="AR86" s="507">
        <f t="shared" si="181"/>
        <v>0</v>
      </c>
      <c r="AS86" s="507">
        <f t="shared" si="182"/>
        <v>0</v>
      </c>
      <c r="AT86" s="507">
        <f t="shared" si="183"/>
        <v>0</v>
      </c>
      <c r="AU86" s="507">
        <f t="shared" si="184"/>
        <v>0</v>
      </c>
      <c r="AV86" s="507">
        <f t="shared" si="185"/>
        <v>0</v>
      </c>
      <c r="AX86" s="507">
        <f t="shared" si="186"/>
        <v>0</v>
      </c>
      <c r="AY86" s="507">
        <f t="shared" si="187"/>
        <v>0</v>
      </c>
      <c r="AZ86" s="507">
        <f t="shared" si="188"/>
        <v>0</v>
      </c>
      <c r="BA86" s="507">
        <f t="shared" si="189"/>
        <v>0</v>
      </c>
      <c r="BB86" s="507">
        <f t="shared" si="190"/>
        <v>0</v>
      </c>
      <c r="BC86" s="507">
        <f t="shared" si="191"/>
        <v>0</v>
      </c>
      <c r="BD86" s="507">
        <f t="shared" si="192"/>
        <v>0</v>
      </c>
      <c r="BF86" s="507">
        <f t="shared" si="193"/>
        <v>0</v>
      </c>
      <c r="BG86" s="507">
        <f t="shared" si="194"/>
        <v>0</v>
      </c>
      <c r="BH86" s="507">
        <f t="shared" si="195"/>
        <v>0</v>
      </c>
      <c r="BI86" s="507">
        <f t="shared" si="196"/>
        <v>0</v>
      </c>
      <c r="BJ86" s="507">
        <f t="shared" si="197"/>
        <v>0</v>
      </c>
      <c r="BK86" s="507">
        <f t="shared" si="198"/>
        <v>0</v>
      </c>
      <c r="BM86" s="507">
        <f t="shared" si="199"/>
        <v>0</v>
      </c>
      <c r="BN86" s="507">
        <f t="shared" si="200"/>
        <v>0</v>
      </c>
      <c r="BO86" s="507">
        <f t="shared" si="201"/>
        <v>0</v>
      </c>
      <c r="BP86" s="507">
        <f t="shared" si="202"/>
        <v>0</v>
      </c>
      <c r="BQ86" s="507">
        <f t="shared" si="203"/>
        <v>0</v>
      </c>
      <c r="BR86" s="507">
        <f t="shared" si="204"/>
        <v>0</v>
      </c>
      <c r="BT86" s="514">
        <f t="shared" si="205"/>
        <v>0</v>
      </c>
      <c r="BU86" s="514">
        <f t="shared" si="206"/>
        <v>522</v>
      </c>
    </row>
    <row r="87" spans="1:73" s="503" customFormat="1" x14ac:dyDescent="0.25">
      <c r="A87" s="771" t="s">
        <v>478</v>
      </c>
      <c r="B87" s="504" t="str">
        <f>'ADU-39'!$B$7</f>
        <v>Energie éolienne</v>
      </c>
      <c r="C87" s="504" t="str">
        <f>'ADU-39'!$B$8</f>
        <v>Participation d'Idélux dans les parcs éoliens</v>
      </c>
      <c r="D87" s="504" t="str">
        <f>'ADU-39'!$C$4</f>
        <v>Territoire</v>
      </c>
      <c r="E87" s="504" t="str">
        <f>'ADU-39'!$B$11</f>
        <v>IDELUX</v>
      </c>
      <c r="F87" s="494" t="str">
        <f>'ADU-39'!$B$5</f>
        <v>Montage</v>
      </c>
      <c r="G87" s="593">
        <f>'ADU-39'!$B$16</f>
        <v>456814.5820238844</v>
      </c>
      <c r="H87" s="494" t="str">
        <f>'ADU-39'!$B$6</f>
        <v>CV</v>
      </c>
      <c r="I87" s="526">
        <f>'ADU-39'!$B$17</f>
        <v>137044.37460716531</v>
      </c>
      <c r="J87" s="526">
        <f>'ADU-39'!$B$20</f>
        <v>12971.730601777859</v>
      </c>
      <c r="K87" s="526">
        <f>'ADU-39'!$B$21</f>
        <v>21079.062227889019</v>
      </c>
      <c r="L87" s="527">
        <f>'ADU-39'!$B$23</f>
        <v>9.3909768567302816</v>
      </c>
      <c r="M87" s="527">
        <f>'ADU-39'!$B$24</f>
        <v>118.36704174122295</v>
      </c>
      <c r="N87" s="528">
        <f t="shared" si="157"/>
        <v>0.37016282003710571</v>
      </c>
      <c r="O87" s="529" t="str">
        <f>'ADU-39'!$E$5</f>
        <v>Terminé</v>
      </c>
      <c r="P87" s="500">
        <f>'ADU-39'!$B$15</f>
        <v>2020</v>
      </c>
      <c r="Q87" s="530">
        <f t="shared" si="264"/>
        <v>118.36704174122295</v>
      </c>
      <c r="R87" s="501">
        <f t="shared" si="158"/>
        <v>118.36704174122295</v>
      </c>
      <c r="S87" s="504">
        <f t="shared" si="159"/>
        <v>0</v>
      </c>
      <c r="T87" s="504">
        <f t="shared" si="160"/>
        <v>0</v>
      </c>
      <c r="U87" s="504">
        <f t="shared" si="161"/>
        <v>0</v>
      </c>
      <c r="V87" s="504">
        <f t="shared" si="162"/>
        <v>0</v>
      </c>
      <c r="W87" s="504">
        <f t="shared" si="163"/>
        <v>0</v>
      </c>
      <c r="X87" s="504">
        <f t="shared" si="164"/>
        <v>0</v>
      </c>
      <c r="Z87" s="530">
        <f t="shared" si="165"/>
        <v>456814.5820238844</v>
      </c>
      <c r="AA87" s="504">
        <f t="shared" si="166"/>
        <v>0</v>
      </c>
      <c r="AB87" s="504">
        <f t="shared" si="167"/>
        <v>0</v>
      </c>
      <c r="AC87" s="504">
        <f t="shared" si="168"/>
        <v>0</v>
      </c>
      <c r="AD87" s="504">
        <f t="shared" si="169"/>
        <v>0</v>
      </c>
      <c r="AE87" s="504">
        <f t="shared" si="170"/>
        <v>0</v>
      </c>
      <c r="AF87" s="504">
        <f t="shared" si="171"/>
        <v>0</v>
      </c>
      <c r="AH87" s="504">
        <f t="shared" si="172"/>
        <v>137044.37460716531</v>
      </c>
      <c r="AI87" s="504">
        <f t="shared" si="173"/>
        <v>0</v>
      </c>
      <c r="AJ87" s="504">
        <f t="shared" si="174"/>
        <v>0</v>
      </c>
      <c r="AK87" s="504">
        <f t="shared" si="175"/>
        <v>0</v>
      </c>
      <c r="AL87" s="504">
        <f t="shared" si="176"/>
        <v>0</v>
      </c>
      <c r="AM87" s="504">
        <f t="shared" si="177"/>
        <v>0</v>
      </c>
      <c r="AN87" s="504">
        <f t="shared" si="178"/>
        <v>0</v>
      </c>
      <c r="AP87" s="504">
        <f t="shared" si="179"/>
        <v>12971.730601777859</v>
      </c>
      <c r="AQ87" s="504">
        <f t="shared" si="180"/>
        <v>0</v>
      </c>
      <c r="AR87" s="504">
        <f t="shared" si="181"/>
        <v>0</v>
      </c>
      <c r="AS87" s="504">
        <f t="shared" si="182"/>
        <v>0</v>
      </c>
      <c r="AT87" s="504">
        <f t="shared" si="183"/>
        <v>0</v>
      </c>
      <c r="AU87" s="504">
        <f t="shared" si="184"/>
        <v>0</v>
      </c>
      <c r="AV87" s="504">
        <f t="shared" si="185"/>
        <v>0</v>
      </c>
      <c r="AX87" s="504">
        <f t="shared" si="186"/>
        <v>21079.062227889019</v>
      </c>
      <c r="AY87" s="504">
        <f t="shared" si="187"/>
        <v>0</v>
      </c>
      <c r="AZ87" s="504">
        <f t="shared" si="188"/>
        <v>0</v>
      </c>
      <c r="BA87" s="504">
        <f t="shared" si="189"/>
        <v>0</v>
      </c>
      <c r="BB87" s="504">
        <f t="shared" si="190"/>
        <v>0</v>
      </c>
      <c r="BC87" s="504">
        <f t="shared" si="191"/>
        <v>0</v>
      </c>
      <c r="BD87" s="504">
        <f t="shared" si="192"/>
        <v>0</v>
      </c>
      <c r="BF87" s="504">
        <f t="shared" si="193"/>
        <v>0</v>
      </c>
      <c r="BG87" s="504">
        <f t="shared" si="194"/>
        <v>0</v>
      </c>
      <c r="BH87" s="504">
        <f t="shared" si="195"/>
        <v>0</v>
      </c>
      <c r="BI87" s="530">
        <f t="shared" si="196"/>
        <v>456814.5820238844</v>
      </c>
      <c r="BJ87" s="504">
        <f t="shared" si="197"/>
        <v>0</v>
      </c>
      <c r="BK87" s="504">
        <f t="shared" si="198"/>
        <v>0</v>
      </c>
      <c r="BM87" s="504">
        <f t="shared" si="199"/>
        <v>0</v>
      </c>
      <c r="BN87" s="504">
        <f t="shared" si="200"/>
        <v>0</v>
      </c>
      <c r="BO87" s="504">
        <f t="shared" si="201"/>
        <v>0</v>
      </c>
      <c r="BP87" s="530">
        <f t="shared" si="202"/>
        <v>137044.37460716531</v>
      </c>
      <c r="BQ87" s="504">
        <f t="shared" si="203"/>
        <v>0</v>
      </c>
      <c r="BR87" s="504">
        <f t="shared" si="204"/>
        <v>0</v>
      </c>
      <c r="BT87" s="501">
        <f t="shared" si="205"/>
        <v>118.36704174122295</v>
      </c>
      <c r="BU87" s="501">
        <f t="shared" si="206"/>
        <v>0</v>
      </c>
    </row>
    <row r="88" spans="1:73" s="490" customFormat="1" x14ac:dyDescent="0.25">
      <c r="A88" s="783" t="s">
        <v>477</v>
      </c>
      <c r="B88" s="491" t="str">
        <f>'ADU-40'!$B$7</f>
        <v>Stockage d'énergie</v>
      </c>
      <c r="C88" s="491" t="str">
        <f>'ADU-40'!$B$8</f>
        <v>Installation innovante de stockage d'énergie</v>
      </c>
      <c r="D88" s="491" t="str">
        <f>'ADU-40'!$C$4</f>
        <v>Industrie</v>
      </c>
      <c r="E88" s="491" t="str">
        <f>'ADU-40'!$B$11</f>
        <v>Industrie</v>
      </c>
      <c r="F88" s="481" t="str">
        <f>'ADU-40'!$B$5</f>
        <v>Montage</v>
      </c>
      <c r="G88" s="592">
        <f>'ADU-40'!$B$16</f>
        <v>3000000</v>
      </c>
      <c r="H88" s="481" t="str">
        <f>'ADU-40'!$B$6</f>
        <v>Subs RW</v>
      </c>
      <c r="I88" s="542">
        <f>'ADU-40'!$B$17</f>
        <v>600000</v>
      </c>
      <c r="J88" s="542">
        <f>'ADU-40'!$B$20</f>
        <v>624412.80000000016</v>
      </c>
      <c r="K88" s="542">
        <f>'ADU-40'!$B$21</f>
        <v>0</v>
      </c>
      <c r="L88" s="543">
        <f>'ADU-40'!$B$23</f>
        <v>3.8429865627354203</v>
      </c>
      <c r="M88" s="544">
        <f>'ADU-40'!$B$24</f>
        <v>1139.5533600000001</v>
      </c>
      <c r="N88" s="545">
        <f t="shared" si="157"/>
        <v>0.47481390000000007</v>
      </c>
      <c r="O88" s="546" t="str">
        <f>'ADU-40'!$E$5</f>
        <v>A faire</v>
      </c>
      <c r="P88" s="487">
        <f>'ADU-40'!$B$15</f>
        <v>2020</v>
      </c>
      <c r="Q88" s="547" t="str">
        <f t="shared" si="264"/>
        <v/>
      </c>
      <c r="R88" s="488">
        <f t="shared" si="158"/>
        <v>0</v>
      </c>
      <c r="S88" s="491">
        <f t="shared" si="159"/>
        <v>0</v>
      </c>
      <c r="T88" s="491">
        <f t="shared" si="160"/>
        <v>0</v>
      </c>
      <c r="U88" s="491">
        <f t="shared" si="161"/>
        <v>0</v>
      </c>
      <c r="V88" s="547">
        <f t="shared" si="162"/>
        <v>0</v>
      </c>
      <c r="W88" s="491">
        <f t="shared" si="163"/>
        <v>0</v>
      </c>
      <c r="X88" s="491">
        <f t="shared" si="164"/>
        <v>0</v>
      </c>
      <c r="Z88" s="491">
        <f t="shared" si="165"/>
        <v>0</v>
      </c>
      <c r="AA88" s="491">
        <f t="shared" si="166"/>
        <v>0</v>
      </c>
      <c r="AB88" s="491">
        <f t="shared" si="167"/>
        <v>0</v>
      </c>
      <c r="AC88" s="491">
        <f t="shared" si="168"/>
        <v>0</v>
      </c>
      <c r="AD88" s="491">
        <f t="shared" si="169"/>
        <v>0</v>
      </c>
      <c r="AE88" s="491">
        <f t="shared" si="170"/>
        <v>0</v>
      </c>
      <c r="AF88" s="491">
        <f t="shared" si="171"/>
        <v>0</v>
      </c>
      <c r="AH88" s="491">
        <f t="shared" si="172"/>
        <v>0</v>
      </c>
      <c r="AI88" s="491">
        <f t="shared" si="173"/>
        <v>0</v>
      </c>
      <c r="AJ88" s="491">
        <f t="shared" si="174"/>
        <v>0</v>
      </c>
      <c r="AK88" s="491">
        <f t="shared" si="175"/>
        <v>0</v>
      </c>
      <c r="AL88" s="491">
        <f t="shared" si="176"/>
        <v>0</v>
      </c>
      <c r="AM88" s="491">
        <f t="shared" si="177"/>
        <v>0</v>
      </c>
      <c r="AN88" s="491">
        <f t="shared" si="178"/>
        <v>0</v>
      </c>
      <c r="AP88" s="491">
        <f t="shared" si="179"/>
        <v>0</v>
      </c>
      <c r="AQ88" s="491">
        <f t="shared" si="180"/>
        <v>0</v>
      </c>
      <c r="AR88" s="491">
        <f t="shared" si="181"/>
        <v>0</v>
      </c>
      <c r="AS88" s="491">
        <f t="shared" si="182"/>
        <v>0</v>
      </c>
      <c r="AT88" s="491">
        <f t="shared" si="183"/>
        <v>0</v>
      </c>
      <c r="AU88" s="491">
        <f t="shared" si="184"/>
        <v>0</v>
      </c>
      <c r="AV88" s="491">
        <f t="shared" si="185"/>
        <v>0</v>
      </c>
      <c r="AX88" s="491">
        <f t="shared" si="186"/>
        <v>0</v>
      </c>
      <c r="AY88" s="491">
        <f t="shared" si="187"/>
        <v>0</v>
      </c>
      <c r="AZ88" s="491">
        <f t="shared" si="188"/>
        <v>0</v>
      </c>
      <c r="BA88" s="491">
        <f t="shared" si="189"/>
        <v>0</v>
      </c>
      <c r="BB88" s="491">
        <f t="shared" si="190"/>
        <v>0</v>
      </c>
      <c r="BC88" s="491">
        <f t="shared" si="191"/>
        <v>0</v>
      </c>
      <c r="BD88" s="491">
        <f t="shared" si="192"/>
        <v>0</v>
      </c>
      <c r="BF88" s="491">
        <f t="shared" si="193"/>
        <v>0</v>
      </c>
      <c r="BG88" s="491">
        <f t="shared" si="194"/>
        <v>0</v>
      </c>
      <c r="BH88" s="491">
        <f t="shared" si="195"/>
        <v>0</v>
      </c>
      <c r="BI88" s="491">
        <f t="shared" si="196"/>
        <v>0</v>
      </c>
      <c r="BJ88" s="491">
        <f t="shared" si="197"/>
        <v>0</v>
      </c>
      <c r="BK88" s="491">
        <f t="shared" si="198"/>
        <v>0</v>
      </c>
      <c r="BM88" s="491">
        <f t="shared" si="199"/>
        <v>0</v>
      </c>
      <c r="BN88" s="491">
        <f t="shared" si="200"/>
        <v>0</v>
      </c>
      <c r="BO88" s="491">
        <f t="shared" si="201"/>
        <v>0</v>
      </c>
      <c r="BP88" s="491">
        <f t="shared" si="202"/>
        <v>0</v>
      </c>
      <c r="BQ88" s="491">
        <f t="shared" si="203"/>
        <v>0</v>
      </c>
      <c r="BR88" s="491">
        <f t="shared" si="204"/>
        <v>0</v>
      </c>
      <c r="BT88" s="488">
        <f t="shared" si="205"/>
        <v>0</v>
      </c>
      <c r="BU88" s="488">
        <f t="shared" si="206"/>
        <v>1139.5533600000001</v>
      </c>
    </row>
    <row r="89" spans="1:73" x14ac:dyDescent="0.25">
      <c r="A89" s="750"/>
      <c r="B89" s="245"/>
      <c r="C89" s="245"/>
      <c r="D89" s="245"/>
      <c r="E89" s="245"/>
      <c r="F89" s="245"/>
      <c r="G89" s="246"/>
      <c r="H89" s="246">
        <v>6</v>
      </c>
      <c r="I89" s="246"/>
      <c r="J89" s="246"/>
      <c r="K89" s="246"/>
      <c r="L89" s="245"/>
      <c r="M89" s="356"/>
      <c r="N89" s="356"/>
      <c r="O89" s="272" t="str">
        <f>'ADU-222'!$E$5</f>
        <v>Terminé</v>
      </c>
      <c r="P89" s="270">
        <f>'ADU-222'!$B$15</f>
        <v>2014</v>
      </c>
      <c r="Q89" s="752">
        <f t="shared" si="264"/>
        <v>0</v>
      </c>
      <c r="R89" s="247">
        <f t="shared" si="158"/>
        <v>0</v>
      </c>
      <c r="S89" s="245">
        <f t="shared" si="159"/>
        <v>0</v>
      </c>
      <c r="T89" s="245">
        <f t="shared" si="160"/>
        <v>0</v>
      </c>
      <c r="U89" s="245">
        <f t="shared" si="161"/>
        <v>0</v>
      </c>
      <c r="V89" s="248">
        <f t="shared" si="162"/>
        <v>0</v>
      </c>
      <c r="W89" s="245">
        <f t="shared" si="163"/>
        <v>0</v>
      </c>
      <c r="X89" s="245">
        <f t="shared" si="164"/>
        <v>0</v>
      </c>
      <c r="Y89" s="244"/>
      <c r="Z89" s="245">
        <f t="shared" si="165"/>
        <v>0</v>
      </c>
      <c r="AA89" s="245">
        <f t="shared" si="166"/>
        <v>0</v>
      </c>
      <c r="AB89" s="245">
        <f t="shared" si="167"/>
        <v>0</v>
      </c>
      <c r="AC89" s="245">
        <f t="shared" si="168"/>
        <v>0</v>
      </c>
      <c r="AD89" s="245">
        <f t="shared" si="169"/>
        <v>0</v>
      </c>
      <c r="AE89" s="245">
        <f t="shared" si="170"/>
        <v>0</v>
      </c>
      <c r="AF89" s="245">
        <f t="shared" si="171"/>
        <v>0</v>
      </c>
      <c r="AG89" s="244"/>
      <c r="AH89" s="245">
        <f t="shared" si="172"/>
        <v>0</v>
      </c>
      <c r="AI89" s="245">
        <f t="shared" si="173"/>
        <v>0</v>
      </c>
      <c r="AJ89" s="245">
        <f t="shared" si="174"/>
        <v>0</v>
      </c>
      <c r="AK89" s="245">
        <f t="shared" si="175"/>
        <v>0</v>
      </c>
      <c r="AL89" s="245">
        <f t="shared" si="176"/>
        <v>0</v>
      </c>
      <c r="AM89" s="245">
        <f t="shared" si="177"/>
        <v>0</v>
      </c>
      <c r="AN89" s="245">
        <f t="shared" si="178"/>
        <v>0</v>
      </c>
      <c r="AO89" s="244"/>
      <c r="AP89" s="245">
        <f t="shared" si="179"/>
        <v>0</v>
      </c>
      <c r="AQ89" s="245">
        <f t="shared" si="180"/>
        <v>0</v>
      </c>
      <c r="AR89" s="245">
        <f t="shared" si="181"/>
        <v>0</v>
      </c>
      <c r="AS89" s="245">
        <f t="shared" si="182"/>
        <v>0</v>
      </c>
      <c r="AT89" s="245">
        <f t="shared" si="183"/>
        <v>0</v>
      </c>
      <c r="AU89" s="245">
        <f t="shared" si="184"/>
        <v>0</v>
      </c>
      <c r="AV89" s="245">
        <f t="shared" si="185"/>
        <v>0</v>
      </c>
      <c r="AW89" s="244"/>
      <c r="AX89" s="245">
        <f t="shared" si="186"/>
        <v>0</v>
      </c>
      <c r="AY89" s="245">
        <f t="shared" si="187"/>
        <v>0</v>
      </c>
      <c r="AZ89" s="245">
        <f t="shared" si="188"/>
        <v>0</v>
      </c>
      <c r="BA89" s="245">
        <f t="shared" si="189"/>
        <v>0</v>
      </c>
      <c r="BB89" s="245">
        <f t="shared" si="190"/>
        <v>0</v>
      </c>
      <c r="BC89" s="245">
        <f t="shared" si="191"/>
        <v>0</v>
      </c>
      <c r="BD89" s="245">
        <f t="shared" si="192"/>
        <v>0</v>
      </c>
      <c r="BE89" s="244"/>
      <c r="BF89" s="245">
        <f t="shared" si="193"/>
        <v>0</v>
      </c>
      <c r="BG89" s="245">
        <f t="shared" si="194"/>
        <v>0</v>
      </c>
      <c r="BH89" s="245">
        <f t="shared" si="195"/>
        <v>0</v>
      </c>
      <c r="BI89" s="245">
        <f t="shared" si="196"/>
        <v>0</v>
      </c>
      <c r="BJ89" s="245">
        <f t="shared" si="197"/>
        <v>0</v>
      </c>
      <c r="BK89" s="245">
        <f t="shared" si="198"/>
        <v>0</v>
      </c>
      <c r="BL89" s="244"/>
      <c r="BM89" s="245">
        <f t="shared" si="199"/>
        <v>0</v>
      </c>
      <c r="BN89" s="245">
        <f t="shared" si="200"/>
        <v>0</v>
      </c>
      <c r="BO89" s="245">
        <f t="shared" si="201"/>
        <v>0</v>
      </c>
      <c r="BP89" s="245">
        <f t="shared" si="202"/>
        <v>0</v>
      </c>
      <c r="BQ89" s="245">
        <f t="shared" si="203"/>
        <v>0</v>
      </c>
      <c r="BR89" s="245">
        <f t="shared" si="204"/>
        <v>0</v>
      </c>
      <c r="BT89" s="247">
        <f t="shared" si="205"/>
        <v>0</v>
      </c>
      <c r="BU89" s="247">
        <f t="shared" si="206"/>
        <v>0</v>
      </c>
    </row>
    <row r="90" spans="1:73" x14ac:dyDescent="0.25">
      <c r="G90" s="601">
        <f>SUM(G2:G88)-G57-G58-G64-G34-G39</f>
        <v>44743488.462796658</v>
      </c>
    </row>
    <row r="91" spans="1:73" x14ac:dyDescent="0.25">
      <c r="G91" s="601"/>
      <c r="Q91" s="320"/>
      <c r="R91" s="355">
        <f t="shared" ref="R91:X91" si="265">SUM(R2:R90)</f>
        <v>1595.8890827412229</v>
      </c>
      <c r="S91" s="320">
        <f t="shared" si="265"/>
        <v>0</v>
      </c>
      <c r="T91" s="320">
        <f t="shared" si="265"/>
        <v>7.6417859999999997</v>
      </c>
      <c r="U91" s="320">
        <f t="shared" si="265"/>
        <v>5783.6717977308126</v>
      </c>
      <c r="V91" s="320">
        <f t="shared" si="265"/>
        <v>107.07524999999998</v>
      </c>
      <c r="W91" s="320">
        <f t="shared" si="265"/>
        <v>21.976376856440965</v>
      </c>
      <c r="X91" s="320">
        <f t="shared" si="265"/>
        <v>1196.6530499999999</v>
      </c>
      <c r="Z91" s="320">
        <f t="shared" ref="Z91:AF91" si="266">SUM(Z2:Z90)</f>
        <v>611814.5820238844</v>
      </c>
      <c r="AA91" s="320">
        <f t="shared" si="266"/>
        <v>0</v>
      </c>
      <c r="AB91" s="320">
        <f t="shared" si="266"/>
        <v>195000</v>
      </c>
      <c r="AC91" s="320">
        <f t="shared" si="266"/>
        <v>16614506.712063517</v>
      </c>
      <c r="AD91" s="320">
        <f t="shared" si="266"/>
        <v>824200</v>
      </c>
      <c r="AE91" s="320">
        <f t="shared" si="266"/>
        <v>588630.16870924423</v>
      </c>
      <c r="AF91" s="320">
        <f t="shared" si="266"/>
        <v>2703737</v>
      </c>
      <c r="AH91" s="320">
        <f t="shared" ref="AH91:AN91" si="267">SUM(AH2:AH90)</f>
        <v>191644.37460716531</v>
      </c>
      <c r="AI91" s="320">
        <f t="shared" si="267"/>
        <v>0</v>
      </c>
      <c r="AJ91" s="320">
        <f t="shared" si="267"/>
        <v>39000</v>
      </c>
      <c r="AK91" s="320">
        <f t="shared" si="267"/>
        <v>1552042.891206352</v>
      </c>
      <c r="AL91" s="320">
        <f t="shared" si="267"/>
        <v>140000</v>
      </c>
      <c r="AM91" s="320">
        <f t="shared" si="267"/>
        <v>0</v>
      </c>
      <c r="AN91" s="320">
        <f t="shared" si="267"/>
        <v>942867</v>
      </c>
      <c r="AP91" s="320">
        <f t="shared" ref="AP91:AV91" si="268">SUM(AP2:AP90)</f>
        <v>81461.250601777865</v>
      </c>
      <c r="AQ91" s="320">
        <f t="shared" si="268"/>
        <v>0</v>
      </c>
      <c r="AR91" s="320">
        <f t="shared" si="268"/>
        <v>3559.1880000000001</v>
      </c>
      <c r="AS91" s="320">
        <f t="shared" si="268"/>
        <v>15804136.946166838</v>
      </c>
      <c r="AT91" s="320">
        <f t="shared" si="268"/>
        <v>63532</v>
      </c>
      <c r="AU91" s="320">
        <f t="shared" si="268"/>
        <v>27508.098294685278</v>
      </c>
      <c r="AV91" s="320">
        <f t="shared" si="268"/>
        <v>393506.14</v>
      </c>
      <c r="AX91" s="320">
        <f t="shared" ref="AX91:BD91" si="269">SUM(AX2:AX90)</f>
        <v>39626.682227889018</v>
      </c>
      <c r="AY91" s="320">
        <f t="shared" si="269"/>
        <v>0</v>
      </c>
      <c r="AZ91" s="320">
        <f t="shared" si="269"/>
        <v>1360.866</v>
      </c>
      <c r="BA91" s="320">
        <f t="shared" si="269"/>
        <v>646684.35</v>
      </c>
      <c r="BB91" s="320">
        <f t="shared" si="269"/>
        <v>14420.25</v>
      </c>
      <c r="BC91" s="320">
        <f t="shared" si="269"/>
        <v>0</v>
      </c>
      <c r="BD91" s="320">
        <f t="shared" si="269"/>
        <v>9070.5419999999976</v>
      </c>
      <c r="BF91" s="80">
        <f t="shared" ref="BF91:BK91" si="270">SUM(BF2:BF90)</f>
        <v>0</v>
      </c>
      <c r="BG91" s="80">
        <f t="shared" si="270"/>
        <v>195000</v>
      </c>
      <c r="BH91" s="320">
        <f t="shared" si="270"/>
        <v>17183136.880772762</v>
      </c>
      <c r="BI91" s="320">
        <f t="shared" si="270"/>
        <v>456814.5820238844</v>
      </c>
      <c r="BJ91" s="80">
        <f t="shared" si="270"/>
        <v>2878737</v>
      </c>
      <c r="BK91" s="80">
        <f t="shared" si="270"/>
        <v>824200</v>
      </c>
      <c r="BM91" s="80">
        <f t="shared" ref="BM91:BR91" si="271">SUM(BM2:BM90)</f>
        <v>0</v>
      </c>
      <c r="BN91" s="80">
        <f t="shared" si="271"/>
        <v>39000</v>
      </c>
      <c r="BO91" s="320">
        <f t="shared" si="271"/>
        <v>1552042.891206352</v>
      </c>
      <c r="BP91" s="320">
        <f t="shared" si="271"/>
        <v>137044.37460716531</v>
      </c>
      <c r="BQ91" s="320">
        <f t="shared" si="271"/>
        <v>997467</v>
      </c>
      <c r="BR91" s="320">
        <f t="shared" si="271"/>
        <v>140000</v>
      </c>
      <c r="BT91" s="355">
        <f>SUM(BT2:BT89)</f>
        <v>8712.9073433284775</v>
      </c>
      <c r="BU91" s="355">
        <f>SUM(BU2:BU90)</f>
        <v>2744.3094936686957</v>
      </c>
    </row>
    <row r="92" spans="1:73" x14ac:dyDescent="0.25">
      <c r="C92" s="423" t="s">
        <v>816</v>
      </c>
      <c r="D92" s="423"/>
      <c r="E92" s="423"/>
      <c r="F92" s="423"/>
      <c r="G92" s="787">
        <f>SUM(G2:G6)+SUM(G9:G18)+G29+G33+G36+G45+G31</f>
        <v>2130737</v>
      </c>
      <c r="H92" s="788"/>
      <c r="I92" s="788"/>
      <c r="J92" s="788"/>
      <c r="K92" s="788"/>
      <c r="L92" s="423"/>
      <c r="M92" s="789">
        <f>SUM(M2:M6)+SUM(M9:M16)+M29+M33+M36+M45</f>
        <v>225.49716000000001</v>
      </c>
      <c r="BT92" s="357">
        <f>BT91</f>
        <v>8712.9073433284775</v>
      </c>
    </row>
    <row r="93" spans="1:73" ht="18.75" x14ac:dyDescent="0.25">
      <c r="C93" s="425" t="s">
        <v>817</v>
      </c>
      <c r="D93" s="425"/>
      <c r="E93" s="425"/>
      <c r="F93" s="425"/>
      <c r="G93" s="799">
        <f>G88+G60</f>
        <v>3300000</v>
      </c>
      <c r="H93" s="800"/>
      <c r="I93" s="800"/>
      <c r="J93" s="800"/>
      <c r="K93" s="800"/>
      <c r="L93" s="425"/>
      <c r="M93" s="801">
        <f>M88+M60</f>
        <v>1222.6644225</v>
      </c>
      <c r="Q93" s="111">
        <f>SUM(Q2:Q89)</f>
        <v>8712.9073433284775</v>
      </c>
      <c r="R93" s="111"/>
      <c r="S93" s="111"/>
      <c r="T93" s="111"/>
      <c r="U93" s="79"/>
      <c r="V93" s="79"/>
      <c r="W93" s="79"/>
      <c r="X93" s="79"/>
      <c r="BT93" s="111"/>
      <c r="BU93" s="111"/>
    </row>
    <row r="94" spans="1:73" x14ac:dyDescent="0.25">
      <c r="C94" s="426" t="s">
        <v>970</v>
      </c>
      <c r="D94" s="426"/>
      <c r="E94" s="426"/>
      <c r="F94" s="426"/>
      <c r="G94" s="793">
        <f>SUM(G77:G80)+G62+G56+SUM(G46:G49)+SUM(G40:G44)+G35+G19+G7+G8</f>
        <v>16930670.912063517</v>
      </c>
      <c r="H94" s="794"/>
      <c r="I94" s="794"/>
      <c r="J94" s="794"/>
      <c r="K94" s="794"/>
      <c r="L94" s="426"/>
      <c r="M94" s="795">
        <f>SUM(M77:M80)+M62+M56+SUM(M46:M49)+SUM(M40:M44)+M34+M19+M7+M8</f>
        <v>2696.4555735539061</v>
      </c>
    </row>
    <row r="95" spans="1:73" x14ac:dyDescent="0.25">
      <c r="C95" s="428" t="s">
        <v>819</v>
      </c>
      <c r="D95" s="428"/>
      <c r="E95" s="428"/>
      <c r="F95" s="428"/>
      <c r="G95" s="790">
        <f>SUM(G82:G86)+G59+G24</f>
        <v>153000</v>
      </c>
      <c r="H95" s="791"/>
      <c r="I95" s="791"/>
      <c r="J95" s="791"/>
      <c r="K95" s="791"/>
      <c r="L95" s="428"/>
      <c r="M95" s="792">
        <f>SUM(M82:M86)+M63+M59+M24</f>
        <v>2186.03551956</v>
      </c>
    </row>
    <row r="96" spans="1:73" x14ac:dyDescent="0.25">
      <c r="C96" s="805" t="s">
        <v>820</v>
      </c>
      <c r="D96" s="805"/>
      <c r="E96" s="805"/>
      <c r="F96" s="805"/>
      <c r="G96" s="806">
        <v>0</v>
      </c>
      <c r="H96" s="807"/>
      <c r="I96" s="807"/>
      <c r="J96" s="807"/>
      <c r="K96" s="807"/>
      <c r="L96" s="805"/>
      <c r="M96" s="808">
        <v>0</v>
      </c>
    </row>
    <row r="97" spans="3:17" x14ac:dyDescent="0.25">
      <c r="C97" s="430" t="s">
        <v>821</v>
      </c>
      <c r="D97" s="430"/>
      <c r="E97" s="430"/>
      <c r="F97" s="430"/>
      <c r="G97" s="809">
        <f>G87+SUM(G50:G55)+SUM(G25:G28)+SUM(G20:G23)+G63</f>
        <v>13719450.382023886</v>
      </c>
      <c r="H97" s="810"/>
      <c r="I97" s="810"/>
      <c r="J97" s="810"/>
      <c r="K97" s="810"/>
      <c r="L97" s="430"/>
      <c r="M97" s="811">
        <f>M87+SUM(M50:M55)+SUM(M25:M28)+SUM(M20:M23)</f>
        <v>1796.072167741223</v>
      </c>
      <c r="Q97" s="357">
        <f>Q93-Q91</f>
        <v>8712.9073433284775</v>
      </c>
    </row>
    <row r="98" spans="3:17" x14ac:dyDescent="0.25">
      <c r="C98" s="424" t="s">
        <v>822</v>
      </c>
      <c r="D98" s="424"/>
      <c r="E98" s="424"/>
      <c r="F98" s="424"/>
      <c r="G98" s="796">
        <f>G37+G38+G81</f>
        <v>2466000</v>
      </c>
      <c r="H98" s="797"/>
      <c r="I98" s="797"/>
      <c r="J98" s="797"/>
      <c r="K98" s="797"/>
      <c r="L98" s="424"/>
      <c r="M98" s="798">
        <f>M37+M38+M81</f>
        <v>1124.7107826086956</v>
      </c>
    </row>
    <row r="99" spans="3:17" x14ac:dyDescent="0.25">
      <c r="C99" s="427" t="s">
        <v>823</v>
      </c>
      <c r="D99" s="427"/>
      <c r="E99" s="427"/>
      <c r="F99" s="427"/>
      <c r="G99" s="802">
        <f>G61+G30+G32</f>
        <v>270000</v>
      </c>
      <c r="H99" s="803"/>
      <c r="I99" s="803"/>
      <c r="J99" s="803"/>
      <c r="K99" s="803"/>
      <c r="L99" s="427"/>
      <c r="M99" s="804">
        <f>M61</f>
        <v>791.39709048715372</v>
      </c>
    </row>
    <row r="100" spans="3:17" ht="18.75" x14ac:dyDescent="0.25">
      <c r="C100" s="431" t="s">
        <v>824</v>
      </c>
      <c r="D100" s="431"/>
      <c r="E100" s="431"/>
      <c r="F100" s="431"/>
      <c r="G100" s="812">
        <f>SUM(G65:G76)</f>
        <v>5773630.1687092446</v>
      </c>
      <c r="H100" s="813"/>
      <c r="I100" s="813"/>
      <c r="J100" s="813"/>
      <c r="K100" s="813"/>
      <c r="L100" s="431"/>
      <c r="M100" s="814">
        <f>SUM(M65:M75)</f>
        <v>895.67806877480837</v>
      </c>
      <c r="Q100" s="79">
        <f>Q93</f>
        <v>8712.9073433284775</v>
      </c>
    </row>
    <row r="101" spans="3:17" x14ac:dyDescent="0.25">
      <c r="G101" s="601"/>
    </row>
    <row r="102" spans="3:17" x14ac:dyDescent="0.25">
      <c r="G102" s="601">
        <f>SUM(G92:G100)</f>
        <v>44743488.462796643</v>
      </c>
      <c r="H102" s="109">
        <f>+G90-G102</f>
        <v>0</v>
      </c>
      <c r="M102" s="590">
        <f>SUM(M92:M100)</f>
        <v>10938.510785225786</v>
      </c>
    </row>
    <row r="106" spans="3:17" x14ac:dyDescent="0.25">
      <c r="C106" s="80" t="s">
        <v>816</v>
      </c>
      <c r="D106" s="80" t="s">
        <v>826</v>
      </c>
      <c r="G106" s="109">
        <f>G27 + G28+G29+G31+G33+G36+G37+G38+G45+G51+G67+G68+G73+G75+G82+G84+G85</f>
        <v>5084547</v>
      </c>
      <c r="H106" s="109">
        <f>10000+15000 + G29+G31+G33+G36+G45+G68+G73+G82+G84+G85</f>
        <v>2039737</v>
      </c>
      <c r="I106" s="109">
        <f>I11+I29+I33+I36+I45+I68+I51+I27+I28+I24+I37+I38+I73+I75+I87+I67+I82+I84+I85</f>
        <v>1978154.7079404988</v>
      </c>
    </row>
    <row r="107" spans="3:17" x14ac:dyDescent="0.25">
      <c r="D107" s="80" t="s">
        <v>827</v>
      </c>
      <c r="G107" s="109">
        <f>SUM(G2:G6)+SUM(G9:G18)</f>
        <v>394000</v>
      </c>
      <c r="H107" s="109">
        <f>G2+G5*4/7+G6+G2+G10+G11+G12*4/7+G14+G15</f>
        <v>315428.57142857142</v>
      </c>
      <c r="I107" s="109">
        <f>SUM(I2:I6)+I9+I10+I12+I13+I14+I15+I16</f>
        <v>0</v>
      </c>
    </row>
    <row r="108" spans="3:17" x14ac:dyDescent="0.25">
      <c r="C108" s="80" t="s">
        <v>825</v>
      </c>
      <c r="D108" s="80" t="s">
        <v>826</v>
      </c>
      <c r="G108" s="601">
        <f>SUM(G19:G26)+G30+G32+G35+SUM(G40:G44)+SUM(G46:G50)+SUM(G52:G56)+G62+G63+SUM(G69:G71)+SUM(G76:G81)+G83+G86+G87+G88</f>
        <v>37774941.462796643</v>
      </c>
      <c r="H108" s="601">
        <f>G87+G83+SUM(G77:G80)*4/7+G70+G62+G50+(G47+G48+G49)*4/7+SUM(G40:G44)*4/7+G35+SUM(G19:G26)</f>
        <v>22303437.17708236</v>
      </c>
      <c r="I108" s="109">
        <f>I19+SUM(I20:I23)+I25+I26+I34+SUM(I40:I44)+SUM(I46:I50)+SUM(I52:I56)+I62+I63+I69+SUM(I77:I81)+I88+I86</f>
        <v>2988824.99</v>
      </c>
    </row>
    <row r="109" spans="3:17" x14ac:dyDescent="0.25">
      <c r="D109" s="80" t="s">
        <v>827</v>
      </c>
      <c r="G109" s="109">
        <f>G61+G60+G59+G7+G8+G65+G66+G74</f>
        <v>390000</v>
      </c>
      <c r="H109" s="109">
        <f>G7+G8+G66+G74</f>
        <v>0</v>
      </c>
      <c r="I109" s="109">
        <f>I61+I60+I59+I7+I8+I65+I66+I74</f>
        <v>100000</v>
      </c>
    </row>
    <row r="110" spans="3:17" x14ac:dyDescent="0.25">
      <c r="G110" s="109">
        <f>SUM(G106:G109)</f>
        <v>43643488.462796643</v>
      </c>
      <c r="H110" s="109">
        <f>SUM(H106:H109)</f>
        <v>24658602.748510931</v>
      </c>
    </row>
    <row r="111" spans="3:17" x14ac:dyDescent="0.25">
      <c r="G111" s="601"/>
      <c r="H111" s="109">
        <f>G102-G110</f>
        <v>1100000</v>
      </c>
    </row>
    <row r="112" spans="3:17" x14ac:dyDescent="0.25">
      <c r="C112" s="80" t="s">
        <v>828</v>
      </c>
      <c r="D112" s="80">
        <v>8657</v>
      </c>
    </row>
  </sheetData>
  <autoFilter ref="A1:X66">
    <sortState ref="A4:S44">
      <sortCondition ref="A4:A44"/>
    </sortState>
  </autoFilter>
  <sortState ref="A4:S37">
    <sortCondition ref="A4:A37"/>
  </sortState>
  <conditionalFormatting sqref="O2:P22 O24:P32 P33:P35 Q2:Q58 O36:P89">
    <cfRule type="containsText" dxfId="296" priority="13" operator="containsText" text="Terminé">
      <formula>NOT(ISERROR(SEARCH("Terminé",O2)))</formula>
    </cfRule>
    <cfRule type="containsText" dxfId="295" priority="14" operator="containsText" text="En cours">
      <formula>NOT(ISERROR(SEARCH("En cours",O2)))</formula>
    </cfRule>
    <cfRule type="containsText" dxfId="294" priority="15" operator="containsText" text="A faire">
      <formula>NOT(ISERROR(SEARCH("A faire",O2)))</formula>
    </cfRule>
  </conditionalFormatting>
  <conditionalFormatting sqref="O33:O35">
    <cfRule type="containsText" dxfId="293" priority="10" operator="containsText" text="Terminé">
      <formula>NOT(ISERROR(SEARCH("Terminé",O33)))</formula>
    </cfRule>
    <cfRule type="containsText" dxfId="292" priority="11" operator="containsText" text="En cours">
      <formula>NOT(ISERROR(SEARCH("En cours",O33)))</formula>
    </cfRule>
    <cfRule type="containsText" dxfId="291" priority="12" operator="containsText" text="A faire">
      <formula>NOT(ISERROR(SEARCH("A faire",O33)))</formula>
    </cfRule>
  </conditionalFormatting>
  <conditionalFormatting sqref="O23:P23">
    <cfRule type="containsText" dxfId="290" priority="7" operator="containsText" text="Terminé">
      <formula>NOT(ISERROR(SEARCH("Terminé",O23)))</formula>
    </cfRule>
    <cfRule type="containsText" dxfId="289" priority="8" operator="containsText" text="En cours">
      <formula>NOT(ISERROR(SEARCH("En cours",O23)))</formula>
    </cfRule>
    <cfRule type="containsText" dxfId="288" priority="9" operator="containsText" text="A faire">
      <formula>NOT(ISERROR(SEARCH("A faire",O23)))</formula>
    </cfRule>
  </conditionalFormatting>
  <conditionalFormatting sqref="Q59:Q89">
    <cfRule type="containsText" dxfId="287" priority="4" operator="containsText" text="Terminé">
      <formula>NOT(ISERROR(SEARCH("Terminé",Q59)))</formula>
    </cfRule>
    <cfRule type="containsText" dxfId="286" priority="5" operator="containsText" text="En cours">
      <formula>NOT(ISERROR(SEARCH("En cours",Q59)))</formula>
    </cfRule>
    <cfRule type="containsText" dxfId="285" priority="6" operator="containsText" text="A faire">
      <formula>NOT(ISERROR(SEARCH("A faire",Q59)))</formula>
    </cfRule>
  </conditionalFormatting>
  <hyperlinks>
    <hyperlink ref="A2" location="'ADO-1'!A1" display="'ADO-1'!A1"/>
    <hyperlink ref="A3" location="'ADO-2'!A1" display="'ADO-2'!A1"/>
    <hyperlink ref="A4" location="'ADO-3'!A1" display="'ADO-3'!A1"/>
    <hyperlink ref="A5" location="'ADO-4'!A1" display="'ADO-4'!A1"/>
    <hyperlink ref="A6" location="'ADO-5'!A1" display="'ADO-5'!A1"/>
    <hyperlink ref="A7" location="'ADO-6'!A1" display="'ADO-6'!A1"/>
    <hyperlink ref="A8" location="'ADO-7'!A1" display="'ADO-7'!A1"/>
    <hyperlink ref="A9" location="'ADO-8'!A1" display="'ADO-8'!A1"/>
    <hyperlink ref="A10" location="'ADO-9'!A1" display="'ADO-9'!A1"/>
    <hyperlink ref="A11" location="'ADO-10'!A1" display="'ADO-10'!A1"/>
    <hyperlink ref="A12" location="'ADO-11'!A1" display="'ADO-11'!A1"/>
    <hyperlink ref="A19" location="'ADU-1'!A1" display="'ADU-1'!A1"/>
    <hyperlink ref="A20" location="'ADU-2'!A1" display="'ADU-2'!A1"/>
    <hyperlink ref="A24" location="'ADU-3'!A1" display="ADU-3"/>
    <hyperlink ref="A29" location="'ADU-5'!A1" display="'ADU-5'!A1"/>
    <hyperlink ref="A33" location="'ADU-6'!A1" display="'ADU-6'!A1"/>
    <hyperlink ref="A34" location="'ADU-61'!A1" display="'ADU-61'!A1"/>
    <hyperlink ref="A36" location="'ADU-7'!A1" display="'ADU-7'!A1"/>
    <hyperlink ref="A37" location="'ADU-8'!A1" display="'ADU-8'!A1"/>
    <hyperlink ref="A38" location="'ADU-9'!A1" display="'ADU-9'!A1"/>
    <hyperlink ref="A39" location="'ADU-10'!A1" display="'ADU-10'!A1"/>
    <hyperlink ref="A40" location="'ADU-110'!A1" display="'ADU-110'!A1"/>
    <hyperlink ref="A41" location="'ADU-111'!A1" display="'ADU-111'!A1"/>
    <hyperlink ref="A42" location="'ADU-112'!A1" display="'ADU-112'!A1"/>
    <hyperlink ref="A43" location="'ADU-113'!A1" display="'ADU-113'!A1"/>
    <hyperlink ref="A45" location="'ADU-12'!A1" display="'ADU-12'!A1"/>
    <hyperlink ref="A46" location="'ADU-13'!A1" display="'ADU-13'!A1"/>
    <hyperlink ref="A48" location="'ADU-14'!A1" display="'ADU-14'!A1"/>
    <hyperlink ref="A49" location="'ADU-15'!A1" display="'ADU-15'!A1"/>
    <hyperlink ref="A50" location="'ADU-16'!A1" display="'ADU-16'!A1"/>
    <hyperlink ref="A51" location="'ADU-17'!A1" display="'ADU-17'!A1"/>
    <hyperlink ref="A52" location="'ADU-18'!A1" display="'ADU-18'!A1"/>
    <hyperlink ref="A53" location="'ADU-19'!A1" display="'ADU-19'!A1"/>
    <hyperlink ref="A54" location="'ADU-20'!A1" display="'ADU-20'!A1"/>
    <hyperlink ref="A55" location="'ADU-21'!A1" display="'ADU-21'!A1"/>
    <hyperlink ref="A56" location="'ADU-22'!A1" display="'ADU-22'!A1"/>
    <hyperlink ref="A57" location="'ADU-23'!A1" display="'ADU-23'!A1"/>
    <hyperlink ref="A58" location="'ADU-24'!A1" display="'ADU-24'!A1"/>
    <hyperlink ref="A59" location="'ADU-25'!A1" display="'ADU-25'!A1"/>
    <hyperlink ref="A60" location="'ADU-26'!A1" display="'ADU-26'!A1"/>
    <hyperlink ref="A62" location="'ADU-27'!A1" display="'ADU-27'!A1"/>
    <hyperlink ref="A63" location="'ADU-28'!A1" display="'ADU-28'!A1"/>
    <hyperlink ref="A64" location="'ADU-29'!A1" display="'ADU-29'!A1"/>
    <hyperlink ref="A65" location="'ADU-30'!A1" display="'ADU-30'!A1"/>
    <hyperlink ref="A66" location="'ADU-31'!A1" display="'ADU-31'!A1"/>
    <hyperlink ref="A68" location="'ADU-32'!A1" display="'ADU-32'!A1"/>
    <hyperlink ref="A69" location="'ADU-33'!A1" display="'ADU-33'!A1"/>
    <hyperlink ref="A73" location="'ADU-34'!A1" display="'ADU-34'!A1"/>
    <hyperlink ref="A75" location="'ADU-35'!A1" display="'ADU-35'!A1"/>
    <hyperlink ref="A82" location="'ADU-37'!A1" display="'ADU-37'!A1"/>
    <hyperlink ref="A84" location="'ADU-38'!A1" display="'ADU-38'!A1"/>
    <hyperlink ref="A87" location="'ADU-39'!A1" display="'ADU-39'!A1"/>
    <hyperlink ref="A88" location="'ADU-40'!A1" display="'ADU-40'!A1"/>
    <hyperlink ref="A13" location="'ADO-12'!A1" display="ADO-12"/>
    <hyperlink ref="A14" location="'ADO-13'!A1" display="ADO-13"/>
    <hyperlink ref="A15" location="'ADO-14'!A1" display="ADO-14"/>
    <hyperlink ref="A16" location="'ADO-15'!A1" display="ADO-15"/>
    <hyperlink ref="A21" location="'ADU-221'!A1" display="ADU-221"/>
    <hyperlink ref="A22" location="'ADU-222'!A1" display="ADU-222"/>
    <hyperlink ref="A25" location="'ADU-41'!A1" display="ADU-41"/>
    <hyperlink ref="A26" location="'ADU-42'!A1" display="ADU-42"/>
    <hyperlink ref="A27" location="'ADU-43'!A1" display="ADU-43"/>
    <hyperlink ref="A44" location="'ADU-114'!A1" display="ADU-114"/>
    <hyperlink ref="A67" location="'ADU-311'!A1" display="ADU-311"/>
    <hyperlink ref="A74" location="'ADU-341'!A1" display="ADU-341"/>
    <hyperlink ref="A77" location="'ADU-361'!A1" display="ADU-361"/>
    <hyperlink ref="A78" location="'ADU-362'!A1" display="ADU-362"/>
    <hyperlink ref="A79" location="'ADU-363'!A1" display="ADU-363"/>
    <hyperlink ref="A80" location="'ADU-364'!A1" display="ADU-364"/>
    <hyperlink ref="A81" location="'ADU-365'!A1" display="ADU-365"/>
    <hyperlink ref="A85" location="'ADU-381'!A1" display="ADU-381"/>
    <hyperlink ref="A28" location="'ADU-44'!A1" display="ADU-44"/>
    <hyperlink ref="A23" location="'ADU-223'!A1" display="ADU-223"/>
    <hyperlink ref="A47" location="'ADU-131'!A1" display="ADU-131"/>
    <hyperlink ref="A61" location="'ADU-261'!A1" display="ADU-261"/>
    <hyperlink ref="A86" location="'ADU-389'!A1" display="ADU-389"/>
    <hyperlink ref="A17" location="'ADO-16'!A1" display="ADO-16"/>
    <hyperlink ref="A18" location="'ADO-17'!A1" display="ADO-17"/>
    <hyperlink ref="A35" location="'ADU-62'!A1" display="ADU-62"/>
    <hyperlink ref="A70" location="'ADU-331'!A1" display="ADU-331"/>
    <hyperlink ref="A71" location="'ADU-332'!A1" display="ADU-332"/>
    <hyperlink ref="A76" location="'ADU-351'!A1" display="ADU-351"/>
    <hyperlink ref="A83" location="'ADU-371'!A1" display="ADU-371"/>
    <hyperlink ref="A30" location="'ADU-51'!A1" display="ADU-51"/>
    <hyperlink ref="A31" location="'ADU-52'!A1" display="ADU-52"/>
    <hyperlink ref="A32" location="'ADU-53'!A1" display="ADU-53"/>
    <hyperlink ref="A72" location="'ADU-333'!A1" display="ADU-333"/>
  </hyperlinks>
  <pageMargins left="0.25" right="0.25" top="0.75" bottom="0.75" header="0.3" footer="0.3"/>
  <pageSetup paperSize="9" scale="16" orientation="landscape"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28"/>
  <sheetViews>
    <sheetView zoomScaleNormal="100" zoomScaleSheetLayoutView="55" workbookViewId="0">
      <selection activeCell="B11" sqref="B11:E11"/>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2" ht="21" x14ac:dyDescent="0.35">
      <c r="A1" s="11" t="s">
        <v>87</v>
      </c>
      <c r="B1" s="11"/>
      <c r="C1" s="11"/>
      <c r="D1" s="11"/>
      <c r="E1" s="11"/>
    </row>
    <row r="2" spans="1:12" ht="26.25" x14ac:dyDescent="0.4">
      <c r="A2" s="856" t="s">
        <v>913</v>
      </c>
      <c r="B2" s="856"/>
      <c r="C2" s="856"/>
      <c r="D2" s="856"/>
      <c r="E2" s="856"/>
    </row>
    <row r="3" spans="1:12" ht="27" thickBot="1" x14ac:dyDescent="0.45">
      <c r="A3" s="112"/>
      <c r="B3" s="112"/>
      <c r="C3" s="112"/>
      <c r="D3" s="112"/>
      <c r="E3" s="112"/>
    </row>
    <row r="4" spans="1:12" ht="15.75" thickBot="1" x14ac:dyDescent="0.3">
      <c r="A4" s="12"/>
      <c r="B4" s="233" t="s">
        <v>469</v>
      </c>
      <c r="C4" s="851" t="s">
        <v>40</v>
      </c>
      <c r="D4" s="852"/>
      <c r="E4" s="175" t="s">
        <v>170</v>
      </c>
      <c r="G4" s="848" t="s">
        <v>914</v>
      </c>
      <c r="H4" s="848"/>
      <c r="I4" s="848"/>
    </row>
    <row r="5" spans="1:12" ht="18.75" customHeight="1" x14ac:dyDescent="0.25">
      <c r="A5" s="381" t="s">
        <v>651</v>
      </c>
      <c r="B5" s="382" t="s">
        <v>652</v>
      </c>
      <c r="C5" s="820" t="s">
        <v>18</v>
      </c>
      <c r="D5" s="820"/>
      <c r="E5" s="232" t="s">
        <v>21</v>
      </c>
      <c r="G5" s="848" t="s">
        <v>915</v>
      </c>
      <c r="H5" s="848"/>
      <c r="I5" s="848"/>
    </row>
    <row r="6" spans="1:12" ht="16.5" thickBot="1" x14ac:dyDescent="0.3">
      <c r="A6" s="379" t="s">
        <v>660</v>
      </c>
      <c r="B6" s="380" t="s">
        <v>398</v>
      </c>
      <c r="C6" s="16"/>
      <c r="D6" s="16"/>
      <c r="E6" s="16"/>
      <c r="G6" s="850" t="s">
        <v>916</v>
      </c>
      <c r="H6" s="850"/>
      <c r="I6" s="850"/>
    </row>
    <row r="7" spans="1:12" ht="24" customHeight="1" thickBot="1" x14ac:dyDescent="0.3">
      <c r="A7" s="207" t="s">
        <v>1</v>
      </c>
      <c r="B7" s="820" t="s">
        <v>158</v>
      </c>
      <c r="C7" s="820"/>
      <c r="D7" s="820"/>
      <c r="E7" s="820"/>
    </row>
    <row r="8" spans="1:12" ht="24" customHeight="1" thickBot="1" x14ac:dyDescent="0.3">
      <c r="A8" s="207" t="s">
        <v>0</v>
      </c>
      <c r="B8" s="820" t="s">
        <v>159</v>
      </c>
      <c r="C8" s="820"/>
      <c r="D8" s="820"/>
      <c r="E8" s="820"/>
    </row>
    <row r="9" spans="1:12" ht="75.75" customHeight="1" x14ac:dyDescent="0.25">
      <c r="A9" s="208" t="s">
        <v>2</v>
      </c>
      <c r="B9" s="890" t="s">
        <v>762</v>
      </c>
      <c r="C9" s="890"/>
      <c r="D9" s="890"/>
      <c r="E9" s="890"/>
      <c r="G9" s="749" t="s">
        <v>154</v>
      </c>
      <c r="H9" s="748" t="s">
        <v>155</v>
      </c>
      <c r="I9" s="748" t="s">
        <v>161</v>
      </c>
      <c r="J9" s="748" t="s">
        <v>160</v>
      </c>
      <c r="K9" s="143" t="s">
        <v>968</v>
      </c>
      <c r="L9" s="143" t="s">
        <v>969</v>
      </c>
    </row>
    <row r="10" spans="1:12" ht="21.75" customHeight="1" x14ac:dyDescent="0.25">
      <c r="A10" s="208" t="s">
        <v>31</v>
      </c>
      <c r="B10" s="889" t="s">
        <v>195</v>
      </c>
      <c r="C10" s="889"/>
      <c r="D10" s="889"/>
      <c r="E10" s="889"/>
      <c r="G10" s="749">
        <v>46600</v>
      </c>
      <c r="H10" s="748">
        <f>G10*10</f>
        <v>466000</v>
      </c>
      <c r="I10" s="748">
        <v>0.78</v>
      </c>
      <c r="J10" s="748">
        <v>0.26100000000000001</v>
      </c>
      <c r="K10" s="143">
        <v>93000</v>
      </c>
      <c r="L10" s="143">
        <v>0.21</v>
      </c>
    </row>
    <row r="11" spans="1:12" ht="30" customHeight="1" x14ac:dyDescent="0.25">
      <c r="A11" s="209" t="s">
        <v>16</v>
      </c>
      <c r="B11" s="874" t="s">
        <v>86</v>
      </c>
      <c r="C11" s="874"/>
      <c r="D11" s="874"/>
      <c r="E11" s="874"/>
    </row>
    <row r="12" spans="1:12" ht="30" customHeight="1" x14ac:dyDescent="0.25">
      <c r="A12" s="209" t="s">
        <v>3</v>
      </c>
      <c r="B12" s="874"/>
      <c r="C12" s="874"/>
      <c r="D12" s="874"/>
      <c r="E12" s="874"/>
    </row>
    <row r="13" spans="1:12" ht="30" customHeight="1" x14ac:dyDescent="0.25">
      <c r="A13" s="209" t="s">
        <v>17</v>
      </c>
      <c r="B13" s="874"/>
      <c r="C13" s="874"/>
      <c r="D13" s="874"/>
      <c r="E13" s="874"/>
    </row>
    <row r="14" spans="1:12" ht="30" customHeight="1" x14ac:dyDescent="0.25">
      <c r="A14" s="209" t="s">
        <v>4</v>
      </c>
      <c r="B14" s="874">
        <v>2014</v>
      </c>
      <c r="C14" s="874"/>
      <c r="D14" s="874"/>
      <c r="E14" s="874"/>
    </row>
    <row r="15" spans="1:12" ht="30" customHeight="1" x14ac:dyDescent="0.25">
      <c r="A15" s="209" t="s">
        <v>5</v>
      </c>
      <c r="B15" s="874">
        <v>2017</v>
      </c>
      <c r="C15" s="874"/>
      <c r="D15" s="874"/>
      <c r="E15" s="874"/>
    </row>
    <row r="16" spans="1:12" ht="30" customHeight="1" x14ac:dyDescent="0.25">
      <c r="A16" s="209" t="s">
        <v>6</v>
      </c>
      <c r="B16" s="931">
        <v>450000</v>
      </c>
      <c r="C16" s="931"/>
      <c r="D16" s="931"/>
      <c r="E16" s="931"/>
      <c r="F16" s="39"/>
      <c r="G16" s="39"/>
      <c r="H16" s="39"/>
    </row>
    <row r="17" spans="1:8" ht="30" customHeight="1" x14ac:dyDescent="0.25">
      <c r="A17" s="209" t="s">
        <v>7</v>
      </c>
      <c r="B17" s="931">
        <v>90000</v>
      </c>
      <c r="C17" s="931"/>
      <c r="D17" s="931"/>
      <c r="E17" s="931"/>
      <c r="F17" s="39"/>
      <c r="G17" s="39"/>
      <c r="H17" s="39"/>
    </row>
    <row r="18" spans="1:8" ht="30" customHeight="1" x14ac:dyDescent="0.25">
      <c r="A18" s="210" t="s">
        <v>468</v>
      </c>
      <c r="B18" s="868">
        <f>H10</f>
        <v>466000</v>
      </c>
      <c r="C18" s="869"/>
      <c r="D18" s="869"/>
      <c r="E18" s="869"/>
      <c r="H18" s="2"/>
    </row>
    <row r="19" spans="1:8" ht="30" customHeight="1" x14ac:dyDescent="0.25">
      <c r="A19" s="238" t="s">
        <v>467</v>
      </c>
      <c r="B19" s="870">
        <f>H10</f>
        <v>466000</v>
      </c>
      <c r="C19" s="871"/>
      <c r="D19" s="871"/>
      <c r="E19" s="871"/>
      <c r="H19" s="2"/>
    </row>
    <row r="20" spans="1:8" ht="30" customHeight="1" x14ac:dyDescent="0.25">
      <c r="A20" s="209" t="s">
        <v>8</v>
      </c>
      <c r="B20" s="845">
        <f>G10*I10-K10*L10</f>
        <v>16818</v>
      </c>
      <c r="C20" s="845"/>
      <c r="D20" s="845"/>
      <c r="E20" s="845"/>
    </row>
    <row r="21" spans="1:8" ht="30" customHeight="1" x14ac:dyDescent="0.25">
      <c r="A21" s="209" t="s">
        <v>9</v>
      </c>
      <c r="B21" s="845"/>
      <c r="C21" s="845"/>
      <c r="D21" s="845"/>
      <c r="E21" s="845"/>
    </row>
    <row r="22" spans="1:8" ht="30" customHeight="1" x14ac:dyDescent="0.25">
      <c r="A22" s="209" t="s">
        <v>465</v>
      </c>
      <c r="B22" s="846">
        <f>B16/(B20+B21)</f>
        <v>26.757046022119159</v>
      </c>
      <c r="C22" s="846"/>
      <c r="D22" s="846"/>
      <c r="E22" s="846"/>
    </row>
    <row r="23" spans="1:8" ht="30" customHeight="1" x14ac:dyDescent="0.25">
      <c r="A23" s="209" t="s">
        <v>466</v>
      </c>
      <c r="B23" s="847">
        <f>(B16-B17)/(B20+B21)</f>
        <v>21.405636817695328</v>
      </c>
      <c r="C23" s="847"/>
      <c r="D23" s="847"/>
      <c r="E23" s="847"/>
    </row>
    <row r="24" spans="1:8" ht="30" customHeight="1" x14ac:dyDescent="0.25">
      <c r="A24" s="211" t="s">
        <v>476</v>
      </c>
      <c r="B24" s="901">
        <f>B18*J10/1000</f>
        <v>121.626</v>
      </c>
      <c r="C24" s="901"/>
      <c r="D24" s="901"/>
      <c r="E24" s="901"/>
    </row>
    <row r="25" spans="1:8" ht="30" customHeight="1" x14ac:dyDescent="0.25">
      <c r="A25" s="212" t="s">
        <v>463</v>
      </c>
      <c r="B25" s="881">
        <f>B24/'Objectifs CO2'!C15</f>
        <v>8.812233737199171E-2</v>
      </c>
      <c r="C25" s="881"/>
      <c r="D25" s="881"/>
      <c r="E25" s="881"/>
    </row>
    <row r="26" spans="1:8" ht="30" customHeight="1" x14ac:dyDescent="0.25">
      <c r="A26" s="213" t="s">
        <v>464</v>
      </c>
      <c r="B26" s="881">
        <f>B24/'Objectifs CO2'!C8</f>
        <v>1.7624467474398341E-2</v>
      </c>
      <c r="C26" s="881"/>
      <c r="D26" s="881"/>
      <c r="E26" s="881"/>
    </row>
    <row r="27" spans="1:8" ht="30" customHeight="1" x14ac:dyDescent="0.25">
      <c r="A27" s="213" t="s">
        <v>24</v>
      </c>
      <c r="B27" s="853"/>
      <c r="C27" s="853"/>
      <c r="D27" s="853"/>
      <c r="E27" s="853"/>
    </row>
    <row r="28" spans="1:8" ht="30" customHeight="1" x14ac:dyDescent="0.25">
      <c r="A28" s="213" t="s">
        <v>418</v>
      </c>
      <c r="B28" s="853"/>
      <c r="C28" s="853"/>
      <c r="D28" s="853"/>
      <c r="E28" s="853"/>
    </row>
  </sheetData>
  <mergeCells count="28">
    <mergeCell ref="B19:E19"/>
    <mergeCell ref="B20:E20"/>
    <mergeCell ref="B21:E21"/>
    <mergeCell ref="B22:E22"/>
    <mergeCell ref="B28:E28"/>
    <mergeCell ref="B23:E23"/>
    <mergeCell ref="B24:E24"/>
    <mergeCell ref="B25:E25"/>
    <mergeCell ref="B26:E26"/>
    <mergeCell ref="B27:E27"/>
    <mergeCell ref="A2:E2"/>
    <mergeCell ref="C5:D5"/>
    <mergeCell ref="B7:E7"/>
    <mergeCell ref="B8:E8"/>
    <mergeCell ref="B18:E18"/>
    <mergeCell ref="G4:I4"/>
    <mergeCell ref="G5:I5"/>
    <mergeCell ref="B15:E15"/>
    <mergeCell ref="B16:E16"/>
    <mergeCell ref="B17:E17"/>
    <mergeCell ref="B10:E10"/>
    <mergeCell ref="B11:E11"/>
    <mergeCell ref="B12:E12"/>
    <mergeCell ref="B13:E13"/>
    <mergeCell ref="B14:E14"/>
    <mergeCell ref="B9:E9"/>
    <mergeCell ref="G6:I6"/>
    <mergeCell ref="C4:D4"/>
  </mergeCells>
  <conditionalFormatting sqref="E5">
    <cfRule type="containsText" dxfId="164" priority="1" operator="containsText" text="Terminé">
      <formula>NOT(ISERROR(SEARCH("Terminé",E5)))</formula>
    </cfRule>
    <cfRule type="containsText" dxfId="163" priority="2" operator="containsText" text="En cours">
      <formula>NOT(ISERROR(SEARCH("En cours",E5)))</formula>
    </cfRule>
    <cfRule type="containsText" dxfId="162" priority="3" operator="containsText" text="A faire">
      <formula>NOT(ISERROR(SEARCH("A faire",E5)))</formula>
    </cfRule>
  </conditionalFormatting>
  <hyperlinks>
    <hyperlink ref="G4:I4" location="'Objectifs CO2'!A1" display="Lien vers Objectifs CO2"/>
    <hyperlink ref="G5:I5" location="'Synthèse CO2'!A1" display="Lien synthèse CO2"/>
    <hyperlink ref="G6" location="CALENDRIER!A1" display="Lien vers CALENDRIER"/>
  </hyperlinks>
  <pageMargins left="0.7" right="0.7" top="0.75" bottom="0.75" header="0.3" footer="0.3"/>
  <pageSetup paperSize="9" scale="9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opLeftCell="A19" zoomScaleNormal="100" zoomScaleSheetLayoutView="100" workbookViewId="0">
      <selection activeCell="E5" sqref="E5"/>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9" ht="21" x14ac:dyDescent="0.35">
      <c r="A1" s="11" t="s">
        <v>87</v>
      </c>
      <c r="B1" s="11"/>
      <c r="C1" s="11"/>
      <c r="D1" s="11"/>
      <c r="E1" s="11"/>
    </row>
    <row r="2" spans="1:9" ht="26.25" x14ac:dyDescent="0.4">
      <c r="A2" s="856" t="s">
        <v>913</v>
      </c>
      <c r="B2" s="856"/>
      <c r="C2" s="856"/>
      <c r="D2" s="856"/>
      <c r="E2" s="856"/>
    </row>
    <row r="3" spans="1:9" ht="27" thickBot="1" x14ac:dyDescent="0.45">
      <c r="A3" s="112"/>
      <c r="B3" s="112"/>
      <c r="C3" s="112"/>
      <c r="D3" s="112"/>
      <c r="E3" s="112"/>
    </row>
    <row r="4" spans="1:9" ht="15.75" thickBot="1" x14ac:dyDescent="0.3">
      <c r="A4" s="12"/>
      <c r="B4" s="233" t="s">
        <v>469</v>
      </c>
      <c r="C4" s="851" t="s">
        <v>40</v>
      </c>
      <c r="D4" s="852"/>
      <c r="E4" s="175" t="s">
        <v>409</v>
      </c>
      <c r="G4" s="848" t="s">
        <v>914</v>
      </c>
      <c r="H4" s="848"/>
      <c r="I4" s="848"/>
    </row>
    <row r="5" spans="1:9" ht="18.75" customHeight="1" x14ac:dyDescent="0.25">
      <c r="A5" s="381" t="s">
        <v>651</v>
      </c>
      <c r="B5" s="382" t="s">
        <v>50</v>
      </c>
      <c r="C5" s="820" t="s">
        <v>18</v>
      </c>
      <c r="D5" s="820"/>
      <c r="E5" s="176" t="s">
        <v>20</v>
      </c>
      <c r="G5" s="848" t="s">
        <v>915</v>
      </c>
      <c r="H5" s="848"/>
      <c r="I5" s="848"/>
    </row>
    <row r="6" spans="1:9" ht="16.5" thickBot="1" x14ac:dyDescent="0.3">
      <c r="A6" s="379" t="s">
        <v>660</v>
      </c>
      <c r="B6" s="380" t="s">
        <v>398</v>
      </c>
      <c r="C6" s="16"/>
      <c r="D6" s="16"/>
      <c r="E6" s="16"/>
      <c r="G6" s="850" t="s">
        <v>916</v>
      </c>
      <c r="H6" s="850"/>
      <c r="I6" s="850"/>
    </row>
    <row r="7" spans="1:9" ht="24" customHeight="1" thickBot="1" x14ac:dyDescent="0.3">
      <c r="A7" s="207" t="s">
        <v>1</v>
      </c>
      <c r="B7" s="857" t="s">
        <v>989</v>
      </c>
      <c r="C7" s="857"/>
      <c r="D7" s="857"/>
      <c r="E7" s="857"/>
      <c r="G7" s="935" t="s">
        <v>991</v>
      </c>
      <c r="H7" s="44"/>
      <c r="I7" s="44"/>
    </row>
    <row r="8" spans="1:9" ht="24" customHeight="1" thickBot="1" x14ac:dyDescent="0.3">
      <c r="A8" s="207" t="s">
        <v>0</v>
      </c>
      <c r="B8" s="857" t="s">
        <v>992</v>
      </c>
      <c r="C8" s="857"/>
      <c r="D8" s="857"/>
      <c r="E8" s="857"/>
      <c r="G8" s="935"/>
      <c r="H8" s="44"/>
      <c r="I8" s="44"/>
    </row>
    <row r="9" spans="1:9" ht="63.75" customHeight="1" x14ac:dyDescent="0.25">
      <c r="A9" s="208" t="s">
        <v>2</v>
      </c>
      <c r="B9" s="854" t="s">
        <v>993</v>
      </c>
      <c r="C9" s="854"/>
      <c r="D9" s="854"/>
      <c r="E9" s="854"/>
      <c r="G9" s="935"/>
      <c r="H9" s="44"/>
      <c r="I9" s="44"/>
    </row>
    <row r="10" spans="1:9" ht="54" customHeight="1" x14ac:dyDescent="0.25">
      <c r="A10" s="208" t="s">
        <v>31</v>
      </c>
      <c r="B10" s="932" t="s">
        <v>996</v>
      </c>
      <c r="C10" s="933"/>
      <c r="D10" s="933"/>
      <c r="E10" s="934"/>
      <c r="G10" s="818">
        <v>646000</v>
      </c>
      <c r="H10" s="263" t="s">
        <v>994</v>
      </c>
      <c r="I10" s="44"/>
    </row>
    <row r="11" spans="1:9" ht="30" customHeight="1" x14ac:dyDescent="0.25">
      <c r="A11" s="209" t="s">
        <v>16</v>
      </c>
      <c r="B11" s="874" t="s">
        <v>86</v>
      </c>
      <c r="C11" s="874"/>
      <c r="D11" s="874"/>
      <c r="E11" s="874"/>
      <c r="G11" s="819" t="s">
        <v>260</v>
      </c>
      <c r="H11" s="640" t="s">
        <v>175</v>
      </c>
      <c r="I11" s="640" t="s">
        <v>272</v>
      </c>
    </row>
    <row r="12" spans="1:9" ht="30" customHeight="1" x14ac:dyDescent="0.25">
      <c r="A12" s="209" t="s">
        <v>3</v>
      </c>
      <c r="B12" s="874" t="s">
        <v>995</v>
      </c>
      <c r="C12" s="874"/>
      <c r="D12" s="874"/>
      <c r="E12" s="874"/>
      <c r="G12" s="819">
        <v>0.25</v>
      </c>
      <c r="H12" s="640">
        <v>0.09</v>
      </c>
      <c r="I12" s="640">
        <v>0.11700000000000001</v>
      </c>
    </row>
    <row r="13" spans="1:9" ht="30" customHeight="1" x14ac:dyDescent="0.25">
      <c r="A13" s="209" t="s">
        <v>17</v>
      </c>
      <c r="B13" s="874" t="s">
        <v>990</v>
      </c>
      <c r="C13" s="874"/>
      <c r="D13" s="874"/>
      <c r="E13" s="874"/>
    </row>
    <row r="14" spans="1:9" ht="30" customHeight="1" x14ac:dyDescent="0.25">
      <c r="A14" s="209" t="s">
        <v>4</v>
      </c>
      <c r="B14" s="874">
        <v>2015</v>
      </c>
      <c r="C14" s="874"/>
      <c r="D14" s="874"/>
      <c r="E14" s="874"/>
    </row>
    <row r="15" spans="1:9" ht="30" customHeight="1" x14ac:dyDescent="0.25">
      <c r="A15" s="209" t="s">
        <v>5</v>
      </c>
      <c r="B15" s="874">
        <v>2020</v>
      </c>
      <c r="C15" s="874"/>
      <c r="D15" s="874"/>
      <c r="E15" s="874"/>
    </row>
    <row r="16" spans="1:9" ht="30" customHeight="1" x14ac:dyDescent="0.25">
      <c r="A16" s="209" t="s">
        <v>6</v>
      </c>
      <c r="B16" s="845">
        <v>50000</v>
      </c>
      <c r="C16" s="845"/>
      <c r="D16" s="845"/>
      <c r="E16" s="845"/>
    </row>
    <row r="17" spans="1:9" ht="30" customHeight="1" x14ac:dyDescent="0.25">
      <c r="A17" s="209" t="s">
        <v>7</v>
      </c>
      <c r="B17" s="845">
        <f>G17*1000</f>
        <v>0</v>
      </c>
      <c r="C17" s="845"/>
      <c r="D17" s="845"/>
      <c r="E17" s="845"/>
    </row>
    <row r="18" spans="1:9" ht="30" customHeight="1" x14ac:dyDescent="0.25">
      <c r="A18" s="210" t="s">
        <v>468</v>
      </c>
      <c r="B18" s="868">
        <f>G10*G12</f>
        <v>161500</v>
      </c>
      <c r="C18" s="869"/>
      <c r="D18" s="869"/>
      <c r="E18" s="869"/>
      <c r="H18" s="2"/>
    </row>
    <row r="19" spans="1:9" ht="30" customHeight="1" x14ac:dyDescent="0.25">
      <c r="A19" s="238" t="s">
        <v>467</v>
      </c>
      <c r="B19" s="870"/>
      <c r="C19" s="871"/>
      <c r="D19" s="871"/>
      <c r="E19" s="871"/>
      <c r="H19" s="2"/>
    </row>
    <row r="20" spans="1:9" ht="30" customHeight="1" x14ac:dyDescent="0.25">
      <c r="A20" s="209" t="s">
        <v>8</v>
      </c>
      <c r="B20" s="845">
        <f>B18*H12</f>
        <v>14535</v>
      </c>
      <c r="C20" s="845"/>
      <c r="D20" s="845"/>
      <c r="E20" s="845"/>
    </row>
    <row r="21" spans="1:9" ht="30" customHeight="1" x14ac:dyDescent="0.25">
      <c r="A21" s="209" t="s">
        <v>9</v>
      </c>
      <c r="B21" s="845"/>
      <c r="C21" s="845"/>
      <c r="D21" s="845"/>
      <c r="E21" s="845"/>
    </row>
    <row r="22" spans="1:9" ht="30" customHeight="1" x14ac:dyDescent="0.25">
      <c r="A22" s="209" t="s">
        <v>465</v>
      </c>
      <c r="B22" s="846">
        <f>B16/(B20+B21)</f>
        <v>3.4399724802201583</v>
      </c>
      <c r="C22" s="846"/>
      <c r="D22" s="846"/>
      <c r="E22" s="846"/>
    </row>
    <row r="23" spans="1:9" ht="30" customHeight="1" x14ac:dyDescent="0.25">
      <c r="A23" s="209" t="s">
        <v>466</v>
      </c>
      <c r="B23" s="847">
        <f>(B16-B17)/(B20+B21)</f>
        <v>3.4399724802201583</v>
      </c>
      <c r="C23" s="847"/>
      <c r="D23" s="847"/>
      <c r="E23" s="847"/>
    </row>
    <row r="24" spans="1:9" ht="30" customHeight="1" x14ac:dyDescent="0.25">
      <c r="A24" s="211" t="s">
        <v>476</v>
      </c>
      <c r="B24" s="901">
        <f>B18/1000*I12</f>
        <v>18.895500000000002</v>
      </c>
      <c r="C24" s="901"/>
      <c r="D24" s="901"/>
      <c r="E24" s="901"/>
    </row>
    <row r="25" spans="1:9" ht="30" customHeight="1" x14ac:dyDescent="0.25">
      <c r="A25" s="212" t="s">
        <v>463</v>
      </c>
      <c r="B25" s="881">
        <f>B24/'Objectifs CO2'!C12</f>
        <v>5.4761831378569367E-3</v>
      </c>
      <c r="C25" s="881"/>
      <c r="D25" s="881"/>
      <c r="E25" s="881"/>
    </row>
    <row r="26" spans="1:9" ht="30" customHeight="1" x14ac:dyDescent="0.25">
      <c r="A26" s="213" t="s">
        <v>464</v>
      </c>
      <c r="B26" s="881">
        <f>B24/'Objectifs CO2'!C8</f>
        <v>2.7380915689284684E-3</v>
      </c>
      <c r="C26" s="881"/>
      <c r="D26" s="881"/>
      <c r="E26" s="881"/>
    </row>
    <row r="27" spans="1:9" ht="30" customHeight="1" x14ac:dyDescent="0.25">
      <c r="A27" s="213" t="s">
        <v>24</v>
      </c>
      <c r="B27" s="853"/>
      <c r="C27" s="853"/>
      <c r="D27" s="853"/>
      <c r="E27" s="853"/>
    </row>
    <row r="28" spans="1:9" ht="30" customHeight="1" x14ac:dyDescent="0.25">
      <c r="A28" s="213" t="s">
        <v>418</v>
      </c>
      <c r="B28" s="853"/>
      <c r="C28" s="853"/>
      <c r="D28" s="853"/>
      <c r="E28" s="853"/>
    </row>
    <row r="30" spans="1:9" x14ac:dyDescent="0.25">
      <c r="B30" s="867" t="s">
        <v>530</v>
      </c>
      <c r="C30" s="867"/>
      <c r="D30" s="867"/>
      <c r="E30" s="143" t="s">
        <v>538</v>
      </c>
    </row>
    <row r="31" spans="1:9" x14ac:dyDescent="0.25">
      <c r="B31" s="864" t="s">
        <v>521</v>
      </c>
      <c r="C31" s="864"/>
      <c r="D31" s="864"/>
      <c r="E31" s="114"/>
      <c r="G31" s="866" t="s">
        <v>538</v>
      </c>
      <c r="H31" s="866"/>
      <c r="I31" s="866"/>
    </row>
    <row r="32" spans="1:9" x14ac:dyDescent="0.25">
      <c r="B32" s="864" t="s">
        <v>522</v>
      </c>
      <c r="C32" s="864"/>
      <c r="D32" s="864"/>
      <c r="E32" s="114"/>
      <c r="G32" s="252">
        <v>3</v>
      </c>
      <c r="H32" s="866" t="s">
        <v>535</v>
      </c>
      <c r="I32" s="866"/>
    </row>
    <row r="33" spans="2:9" x14ac:dyDescent="0.25">
      <c r="B33" s="864" t="s">
        <v>524</v>
      </c>
      <c r="C33" s="864"/>
      <c r="D33" s="864"/>
      <c r="E33" s="114"/>
      <c r="G33" s="252">
        <v>2</v>
      </c>
      <c r="H33" s="866" t="s">
        <v>536</v>
      </c>
      <c r="I33" s="866"/>
    </row>
    <row r="34" spans="2:9" ht="26.25" customHeight="1" x14ac:dyDescent="0.25">
      <c r="B34" s="864" t="s">
        <v>523</v>
      </c>
      <c r="C34" s="864"/>
      <c r="D34" s="864"/>
      <c r="E34" s="114"/>
      <c r="G34" s="252">
        <v>1</v>
      </c>
      <c r="H34" s="866" t="s">
        <v>537</v>
      </c>
      <c r="I34" s="866"/>
    </row>
    <row r="35" spans="2:9" x14ac:dyDescent="0.25">
      <c r="B35" s="864" t="s">
        <v>525</v>
      </c>
      <c r="C35" s="864"/>
      <c r="D35" s="864"/>
      <c r="E35" s="114"/>
    </row>
    <row r="36" spans="2:9" x14ac:dyDescent="0.25">
      <c r="B36" s="864" t="s">
        <v>526</v>
      </c>
      <c r="C36" s="864"/>
      <c r="D36" s="864"/>
      <c r="E36" s="114"/>
    </row>
    <row r="37" spans="2:9" x14ac:dyDescent="0.25">
      <c r="B37" s="864" t="s">
        <v>527</v>
      </c>
      <c r="C37" s="864"/>
      <c r="D37" s="864"/>
      <c r="E37" s="114"/>
    </row>
    <row r="38" spans="2:9" x14ac:dyDescent="0.25">
      <c r="B38" s="864" t="s">
        <v>528</v>
      </c>
      <c r="C38" s="864"/>
      <c r="D38" s="864"/>
      <c r="E38" s="114"/>
    </row>
    <row r="39" spans="2:9" x14ac:dyDescent="0.25">
      <c r="B39" s="864" t="s">
        <v>529</v>
      </c>
      <c r="C39" s="864"/>
      <c r="D39" s="864"/>
      <c r="E39" s="114"/>
      <c r="G39" s="863" t="s">
        <v>541</v>
      </c>
      <c r="H39" s="863"/>
      <c r="I39" s="863"/>
    </row>
    <row r="40" spans="2:9" x14ac:dyDescent="0.25">
      <c r="B40" s="865" t="s">
        <v>395</v>
      </c>
      <c r="C40" s="865"/>
      <c r="D40" s="865"/>
      <c r="E40" s="258">
        <f>SUM(E31:E39)</f>
        <v>0</v>
      </c>
      <c r="G40" s="254" t="s">
        <v>542</v>
      </c>
      <c r="H40" s="257" t="s">
        <v>543</v>
      </c>
      <c r="I40" s="254" t="s">
        <v>544</v>
      </c>
    </row>
    <row r="41" spans="2:9" x14ac:dyDescent="0.25">
      <c r="E41" s="202" t="s">
        <v>576</v>
      </c>
      <c r="G41" s="254" t="s">
        <v>545</v>
      </c>
      <c r="H41" s="254" t="s">
        <v>547</v>
      </c>
      <c r="I41" s="254" t="s">
        <v>546</v>
      </c>
    </row>
    <row r="43" spans="2:9" x14ac:dyDescent="0.25">
      <c r="B43" s="860" t="s">
        <v>520</v>
      </c>
      <c r="C43" s="861"/>
      <c r="D43" s="862"/>
      <c r="E43" s="251">
        <v>1</v>
      </c>
      <c r="G43" s="254">
        <v>1</v>
      </c>
      <c r="H43" s="254" t="s">
        <v>539</v>
      </c>
    </row>
    <row r="44" spans="2:9" x14ac:dyDescent="0.25">
      <c r="G44" s="254">
        <v>0</v>
      </c>
      <c r="H44" s="254" t="s">
        <v>540</v>
      </c>
    </row>
  </sheetData>
  <mergeCells count="46">
    <mergeCell ref="G6:I6"/>
    <mergeCell ref="A2:E2"/>
    <mergeCell ref="C5:D5"/>
    <mergeCell ref="B7:E7"/>
    <mergeCell ref="B8:E8"/>
    <mergeCell ref="C4:D4"/>
    <mergeCell ref="G7:G9"/>
    <mergeCell ref="B10:E10"/>
    <mergeCell ref="B27:E27"/>
    <mergeCell ref="B21:E21"/>
    <mergeCell ref="B22:E22"/>
    <mergeCell ref="B19:E19"/>
    <mergeCell ref="B23:E23"/>
    <mergeCell ref="B24:E24"/>
    <mergeCell ref="G31:I31"/>
    <mergeCell ref="B32:D32"/>
    <mergeCell ref="H32:I32"/>
    <mergeCell ref="B28:E28"/>
    <mergeCell ref="B9:E9"/>
    <mergeCell ref="B11:E11"/>
    <mergeCell ref="B12:E12"/>
    <mergeCell ref="B16:E16"/>
    <mergeCell ref="B15:E15"/>
    <mergeCell ref="B13:E13"/>
    <mergeCell ref="B14:E14"/>
    <mergeCell ref="B17:E17"/>
    <mergeCell ref="B18:E18"/>
    <mergeCell ref="B20:E20"/>
    <mergeCell ref="B25:E25"/>
    <mergeCell ref="B26:E26"/>
    <mergeCell ref="B43:D43"/>
    <mergeCell ref="G4:I4"/>
    <mergeCell ref="G5:I5"/>
    <mergeCell ref="G39:I39"/>
    <mergeCell ref="B36:D36"/>
    <mergeCell ref="B37:D37"/>
    <mergeCell ref="B38:D38"/>
    <mergeCell ref="B39:D39"/>
    <mergeCell ref="B40:D40"/>
    <mergeCell ref="B33:D33"/>
    <mergeCell ref="H33:I33"/>
    <mergeCell ref="B34:D34"/>
    <mergeCell ref="H34:I34"/>
    <mergeCell ref="B35:D35"/>
    <mergeCell ref="B30:D30"/>
    <mergeCell ref="B31:D31"/>
  </mergeCells>
  <conditionalFormatting sqref="E5">
    <cfRule type="containsText" dxfId="161" priority="1" operator="containsText" text="Terminé">
      <formula>NOT(ISERROR(SEARCH("Terminé",E5)))</formula>
    </cfRule>
    <cfRule type="containsText" dxfId="160" priority="2" operator="containsText" text="En cours">
      <formula>NOT(ISERROR(SEARCH("En cours",E5)))</formula>
    </cfRule>
    <cfRule type="containsText" dxfId="159"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pageSetup paperSize="9" scale="84" orientation="portrait" r:id="rId1"/>
  <colBreaks count="1" manualBreakCount="1">
    <brk id="5"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4"/>
  <sheetViews>
    <sheetView topLeftCell="A16" zoomScaleNormal="100" zoomScaleSheetLayoutView="100" workbookViewId="0">
      <selection activeCell="G23" sqref="G23:M27"/>
    </sheetView>
  </sheetViews>
  <sheetFormatPr baseColWidth="10" defaultRowHeight="15" x14ac:dyDescent="0.25"/>
  <cols>
    <col min="1" max="1" width="40.7109375" style="37" customWidth="1"/>
    <col min="2" max="2" width="16.7109375" style="37" customWidth="1"/>
    <col min="3" max="3" width="17.140625" style="37" customWidth="1"/>
    <col min="4" max="4" width="11.42578125" style="37"/>
    <col min="5" max="5" width="17.42578125" style="37" customWidth="1"/>
    <col min="6" max="6" width="1.140625" style="37" customWidth="1"/>
    <col min="7" max="9" width="11.42578125" style="37"/>
    <col min="10" max="13" width="11.42578125" style="37" customWidth="1"/>
    <col min="14" max="16384" width="11.42578125" style="37"/>
  </cols>
  <sheetData>
    <row r="1" spans="1:15" ht="21" x14ac:dyDescent="0.35">
      <c r="A1" s="11" t="s">
        <v>87</v>
      </c>
      <c r="B1" s="11"/>
      <c r="C1" s="11"/>
      <c r="D1" s="11"/>
      <c r="E1" s="11"/>
    </row>
    <row r="2" spans="1:15" ht="26.25" x14ac:dyDescent="0.4">
      <c r="A2" s="856" t="s">
        <v>913</v>
      </c>
      <c r="B2" s="856"/>
      <c r="C2" s="856"/>
      <c r="D2" s="856"/>
      <c r="E2" s="856"/>
    </row>
    <row r="3" spans="1:15" ht="27" thickBot="1" x14ac:dyDescent="0.45">
      <c r="A3" s="185"/>
      <c r="B3" s="185"/>
      <c r="C3" s="185"/>
      <c r="D3" s="185"/>
      <c r="E3" s="185"/>
    </row>
    <row r="4" spans="1:15" ht="15.75" thickBot="1" x14ac:dyDescent="0.3">
      <c r="A4" s="12"/>
      <c r="B4" s="233" t="s">
        <v>469</v>
      </c>
      <c r="C4" s="851" t="s">
        <v>35</v>
      </c>
      <c r="D4" s="852"/>
      <c r="E4" s="175" t="s">
        <v>406</v>
      </c>
      <c r="G4" s="848" t="s">
        <v>914</v>
      </c>
      <c r="H4" s="848"/>
      <c r="I4" s="848"/>
    </row>
    <row r="5" spans="1:15" ht="15.75" x14ac:dyDescent="0.25">
      <c r="A5" s="381" t="s">
        <v>651</v>
      </c>
      <c r="B5" s="382" t="s">
        <v>786</v>
      </c>
      <c r="C5" s="820" t="s">
        <v>18</v>
      </c>
      <c r="D5" s="820"/>
      <c r="E5" s="232" t="s">
        <v>20</v>
      </c>
      <c r="G5" s="848" t="s">
        <v>915</v>
      </c>
      <c r="H5" s="848"/>
      <c r="I5" s="848"/>
      <c r="J5" s="44"/>
      <c r="K5" s="44"/>
      <c r="L5" s="44"/>
      <c r="M5" s="44"/>
      <c r="N5" s="44"/>
    </row>
    <row r="6" spans="1:15" ht="16.5" thickBot="1" x14ac:dyDescent="0.3">
      <c r="A6" s="379" t="s">
        <v>660</v>
      </c>
      <c r="B6" s="380" t="s">
        <v>784</v>
      </c>
      <c r="G6" s="850" t="s">
        <v>916</v>
      </c>
      <c r="H6" s="850"/>
      <c r="I6" s="850"/>
      <c r="J6" s="44"/>
      <c r="K6" s="44"/>
      <c r="L6" s="44"/>
      <c r="M6" s="44"/>
      <c r="N6" s="44"/>
    </row>
    <row r="7" spans="1:15" ht="24" customHeight="1" thickBot="1" x14ac:dyDescent="0.3">
      <c r="A7" s="207" t="s">
        <v>1</v>
      </c>
      <c r="B7" s="857" t="s">
        <v>93</v>
      </c>
      <c r="C7" s="857"/>
      <c r="D7" s="857"/>
      <c r="E7" s="857"/>
      <c r="F7" s="44"/>
      <c r="G7" s="44"/>
      <c r="H7" s="44"/>
      <c r="I7" s="44"/>
      <c r="J7" s="44"/>
      <c r="K7" s="44"/>
      <c r="L7" s="44"/>
      <c r="M7" s="44"/>
      <c r="N7" s="44"/>
      <c r="O7" s="44"/>
    </row>
    <row r="8" spans="1:15" ht="24" customHeight="1" thickBot="1" x14ac:dyDescent="0.3">
      <c r="A8" s="207" t="s">
        <v>0</v>
      </c>
      <c r="B8" s="857" t="s">
        <v>792</v>
      </c>
      <c r="C8" s="857"/>
      <c r="D8" s="857"/>
      <c r="E8" s="857"/>
      <c r="F8" s="44"/>
      <c r="G8" s="44"/>
      <c r="H8" s="44"/>
      <c r="I8" s="44"/>
      <c r="J8" s="44"/>
      <c r="K8" s="44"/>
      <c r="L8" s="44"/>
      <c r="M8" s="44"/>
      <c r="N8" s="44"/>
      <c r="O8" s="44"/>
    </row>
    <row r="9" spans="1:15" ht="63" customHeight="1" x14ac:dyDescent="0.25">
      <c r="A9" s="214" t="s">
        <v>2</v>
      </c>
      <c r="B9" s="854" t="s">
        <v>724</v>
      </c>
      <c r="C9" s="854"/>
      <c r="D9" s="854"/>
      <c r="E9" s="854"/>
      <c r="F9" s="44"/>
      <c r="G9" s="183" t="s">
        <v>198</v>
      </c>
      <c r="H9" s="189" t="s">
        <v>411</v>
      </c>
      <c r="I9" s="117" t="s">
        <v>199</v>
      </c>
      <c r="J9" s="117" t="s">
        <v>200</v>
      </c>
      <c r="K9" s="116" t="s">
        <v>201</v>
      </c>
      <c r="L9" s="116" t="s">
        <v>204</v>
      </c>
    </row>
    <row r="10" spans="1:15" ht="15.75" customHeight="1" x14ac:dyDescent="0.25">
      <c r="A10" s="214" t="s">
        <v>31</v>
      </c>
      <c r="B10" s="854" t="s">
        <v>414</v>
      </c>
      <c r="C10" s="854"/>
      <c r="D10" s="854"/>
      <c r="E10" s="854"/>
      <c r="F10" s="44"/>
      <c r="G10" s="186">
        <f>SUM(H14:H17)</f>
        <v>60</v>
      </c>
      <c r="H10" s="190">
        <f>H12*L10*10</f>
        <v>2575.8345642540621</v>
      </c>
      <c r="I10" s="187">
        <v>75</v>
      </c>
      <c r="J10" s="187">
        <v>100</v>
      </c>
      <c r="K10" s="188">
        <v>0.7</v>
      </c>
      <c r="L10" s="188">
        <v>0.15</v>
      </c>
    </row>
    <row r="11" spans="1:15" ht="30" customHeight="1" x14ac:dyDescent="0.25">
      <c r="A11" s="215" t="s">
        <v>16</v>
      </c>
      <c r="B11" s="874" t="s">
        <v>512</v>
      </c>
      <c r="C11" s="874"/>
      <c r="D11" s="874"/>
      <c r="E11" s="874"/>
      <c r="F11" s="44"/>
      <c r="G11" s="44"/>
      <c r="H11" s="121"/>
      <c r="I11" s="44"/>
      <c r="J11" s="44"/>
      <c r="K11" s="44"/>
      <c r="L11" s="44"/>
      <c r="M11" s="44"/>
      <c r="N11" s="44"/>
    </row>
    <row r="12" spans="1:15" ht="30" customHeight="1" x14ac:dyDescent="0.25">
      <c r="A12" s="215" t="s">
        <v>3</v>
      </c>
      <c r="B12" s="874"/>
      <c r="C12" s="874"/>
      <c r="D12" s="874"/>
      <c r="E12" s="874"/>
      <c r="F12" s="44"/>
      <c r="G12" s="44"/>
      <c r="H12" s="122">
        <f>(L15+M15)/K15*100</f>
        <v>1717.2230428360415</v>
      </c>
      <c r="I12" s="44"/>
      <c r="J12" s="44"/>
      <c r="K12" s="44"/>
      <c r="L12" s="44"/>
      <c r="M12" s="44"/>
      <c r="N12" s="44"/>
    </row>
    <row r="13" spans="1:15" ht="30" customHeight="1" x14ac:dyDescent="0.25">
      <c r="A13" s="215" t="s">
        <v>17</v>
      </c>
      <c r="B13" s="874"/>
      <c r="C13" s="874"/>
      <c r="D13" s="874"/>
      <c r="E13" s="874"/>
      <c r="F13" s="44"/>
      <c r="G13" s="44"/>
      <c r="H13" s="44"/>
      <c r="I13" s="44"/>
      <c r="J13" s="44"/>
      <c r="K13" s="44"/>
      <c r="L13" s="44"/>
      <c r="M13" s="44"/>
      <c r="N13" s="44"/>
    </row>
    <row r="14" spans="1:15" ht="30" customHeight="1" x14ac:dyDescent="0.25">
      <c r="A14" s="215" t="s">
        <v>4</v>
      </c>
      <c r="B14" s="874">
        <v>2015</v>
      </c>
      <c r="C14" s="874"/>
      <c r="D14" s="874"/>
      <c r="E14" s="874"/>
      <c r="F14" s="44"/>
      <c r="G14" s="123" t="s">
        <v>205</v>
      </c>
      <c r="H14" s="123">
        <v>0</v>
      </c>
      <c r="I14" s="117" t="s">
        <v>202</v>
      </c>
      <c r="J14" s="117" t="s">
        <v>189</v>
      </c>
      <c r="K14" s="117" t="s">
        <v>203</v>
      </c>
      <c r="L14" s="117" t="s">
        <v>412</v>
      </c>
      <c r="M14" s="117" t="s">
        <v>413</v>
      </c>
      <c r="N14" s="44"/>
    </row>
    <row r="15" spans="1:15" ht="30" customHeight="1" x14ac:dyDescent="0.25">
      <c r="A15" s="215" t="s">
        <v>5</v>
      </c>
      <c r="B15" s="874">
        <v>2020</v>
      </c>
      <c r="C15" s="874"/>
      <c r="D15" s="874"/>
      <c r="E15" s="874"/>
      <c r="F15" s="44"/>
      <c r="G15" s="123" t="s">
        <v>206</v>
      </c>
      <c r="H15" s="123">
        <v>0</v>
      </c>
      <c r="I15" s="187">
        <v>0.26100000000000001</v>
      </c>
      <c r="J15" s="191">
        <f>J21</f>
        <v>0.23631551059730252</v>
      </c>
      <c r="K15" s="187">
        <v>3385</v>
      </c>
      <c r="L15" s="187">
        <v>50372</v>
      </c>
      <c r="M15" s="192">
        <v>7756</v>
      </c>
      <c r="N15" s="44"/>
    </row>
    <row r="16" spans="1:15" ht="30" customHeight="1" x14ac:dyDescent="0.25">
      <c r="A16" s="215" t="s">
        <v>6</v>
      </c>
      <c r="B16" s="859">
        <f>G10*I10*J10</f>
        <v>450000</v>
      </c>
      <c r="C16" s="859"/>
      <c r="D16" s="859"/>
      <c r="E16" s="859"/>
      <c r="F16" s="44"/>
      <c r="G16" s="123" t="s">
        <v>207</v>
      </c>
      <c r="H16" s="123">
        <v>0</v>
      </c>
      <c r="K16" s="44"/>
      <c r="L16" s="44"/>
      <c r="M16" s="44"/>
      <c r="N16" s="44"/>
    </row>
    <row r="17" spans="1:14" ht="30" customHeight="1" x14ac:dyDescent="0.25">
      <c r="A17" s="215" t="s">
        <v>7</v>
      </c>
      <c r="B17" s="859">
        <f>G10*J10*8</f>
        <v>48000</v>
      </c>
      <c r="C17" s="859"/>
      <c r="D17" s="859"/>
      <c r="E17" s="859"/>
      <c r="F17" s="44"/>
      <c r="G17" s="123" t="s">
        <v>407</v>
      </c>
      <c r="H17" s="123">
        <v>60</v>
      </c>
      <c r="K17" s="44"/>
      <c r="L17" s="44"/>
      <c r="M17" s="44"/>
      <c r="N17" s="44"/>
    </row>
    <row r="18" spans="1:14" ht="30" customHeight="1" x14ac:dyDescent="0.25">
      <c r="A18" s="210" t="s">
        <v>468</v>
      </c>
      <c r="B18" s="868">
        <f>G10*H10</f>
        <v>154550.07385524374</v>
      </c>
      <c r="C18" s="869"/>
      <c r="D18" s="869"/>
      <c r="E18" s="869"/>
      <c r="F18" s="44"/>
      <c r="G18" s="44"/>
      <c r="H18" s="47"/>
      <c r="I18" s="44"/>
      <c r="J18" s="44"/>
      <c r="K18" s="44"/>
      <c r="L18" s="44"/>
      <c r="M18" s="44"/>
      <c r="N18" s="44"/>
    </row>
    <row r="19" spans="1:14" ht="30" customHeight="1" x14ac:dyDescent="0.25">
      <c r="A19" s="238" t="s">
        <v>467</v>
      </c>
      <c r="B19" s="870"/>
      <c r="C19" s="871"/>
      <c r="D19" s="871"/>
      <c r="E19" s="871"/>
      <c r="F19" s="44"/>
      <c r="G19" s="44"/>
      <c r="H19" s="47"/>
      <c r="I19" s="193">
        <f>L15</f>
        <v>50372</v>
      </c>
      <c r="J19" s="193">
        <v>0.26100000000000001</v>
      </c>
      <c r="K19" s="193"/>
      <c r="L19" s="44"/>
      <c r="M19" s="44"/>
      <c r="N19" s="44"/>
    </row>
    <row r="20" spans="1:14" ht="30" customHeight="1" x14ac:dyDescent="0.25">
      <c r="A20" s="215" t="s">
        <v>8</v>
      </c>
      <c r="B20" s="845">
        <f>(B18*K10/10)</f>
        <v>10818.505169867061</v>
      </c>
      <c r="C20" s="845"/>
      <c r="D20" s="845"/>
      <c r="E20" s="845"/>
      <c r="F20" s="44"/>
      <c r="G20" s="44"/>
      <c r="H20" s="44"/>
      <c r="I20" s="193">
        <f>M15</f>
        <v>7756</v>
      </c>
      <c r="J20" s="193">
        <v>7.5999999999999998E-2</v>
      </c>
      <c r="K20" s="193"/>
      <c r="L20" s="44"/>
      <c r="M20" s="44"/>
      <c r="N20" s="44"/>
    </row>
    <row r="21" spans="1:14" ht="30" customHeight="1" x14ac:dyDescent="0.25">
      <c r="A21" s="215" t="s">
        <v>9</v>
      </c>
      <c r="B21" s="845"/>
      <c r="C21" s="845"/>
      <c r="D21" s="845"/>
      <c r="E21" s="845"/>
      <c r="F21" s="44"/>
      <c r="G21" s="44"/>
      <c r="H21" s="44"/>
      <c r="I21" s="193">
        <f>I19+I20</f>
        <v>58128</v>
      </c>
      <c r="J21" s="194">
        <f>K21/I21</f>
        <v>0.23631551059730252</v>
      </c>
      <c r="K21" s="193">
        <f>(I19*J19)+(I20*J20)</f>
        <v>13736.548000000001</v>
      </c>
      <c r="L21" s="44"/>
      <c r="M21" s="44"/>
      <c r="N21" s="44"/>
    </row>
    <row r="22" spans="1:14" ht="30" customHeight="1" x14ac:dyDescent="0.25">
      <c r="A22" s="215" t="s">
        <v>465</v>
      </c>
      <c r="B22" s="846">
        <f>B16/(B20+B21)</f>
        <v>41.595395383586961</v>
      </c>
      <c r="C22" s="846"/>
      <c r="D22" s="846"/>
      <c r="E22" s="846"/>
      <c r="F22" s="44"/>
      <c r="G22" s="44"/>
      <c r="H22" s="44"/>
      <c r="I22" s="44"/>
      <c r="J22" s="44"/>
      <c r="K22" s="44"/>
      <c r="L22" s="44"/>
      <c r="M22" s="44"/>
      <c r="N22" s="44"/>
    </row>
    <row r="23" spans="1:14" ht="30" customHeight="1" x14ac:dyDescent="0.25">
      <c r="A23" s="215" t="s">
        <v>466</v>
      </c>
      <c r="B23" s="847">
        <f>(B16-B17)/(B20+B21)</f>
        <v>37.158553209337683</v>
      </c>
      <c r="C23" s="847"/>
      <c r="D23" s="847"/>
      <c r="E23" s="847"/>
      <c r="F23" s="44"/>
      <c r="G23" s="37" t="s">
        <v>977</v>
      </c>
      <c r="H23" s="37" t="s">
        <v>978</v>
      </c>
      <c r="N23" s="44"/>
    </row>
    <row r="24" spans="1:14" ht="30" customHeight="1" x14ac:dyDescent="0.25">
      <c r="A24" s="216" t="s">
        <v>476</v>
      </c>
      <c r="B24" s="849">
        <f>B18*J15/1000</f>
        <v>36.522579615952736</v>
      </c>
      <c r="C24" s="849"/>
      <c r="D24" s="849"/>
      <c r="E24" s="849"/>
      <c r="F24" s="44"/>
      <c r="G24" s="892"/>
      <c r="H24" s="892"/>
      <c r="I24" s="892"/>
      <c r="J24" s="892"/>
      <c r="K24" s="892"/>
      <c r="L24" s="892"/>
      <c r="M24" s="892"/>
      <c r="N24" s="44"/>
    </row>
    <row r="25" spans="1:14" ht="30" customHeight="1" x14ac:dyDescent="0.25">
      <c r="A25" s="217" t="s">
        <v>463</v>
      </c>
      <c r="B25" s="881">
        <f>B24/'Objectifs CO2'!C12</f>
        <v>1.0584760109228009E-2</v>
      </c>
      <c r="C25" s="881"/>
      <c r="D25" s="881"/>
      <c r="E25" s="881"/>
      <c r="G25" s="37" t="s">
        <v>979</v>
      </c>
      <c r="N25" s="44"/>
    </row>
    <row r="26" spans="1:14" ht="30" customHeight="1" x14ac:dyDescent="0.25">
      <c r="A26" s="218" t="s">
        <v>464</v>
      </c>
      <c r="B26" s="881">
        <f>B24/'Objectifs CO2'!C8</f>
        <v>5.2923800546140045E-3</v>
      </c>
      <c r="C26" s="881"/>
      <c r="D26" s="881"/>
      <c r="E26" s="881"/>
      <c r="G26" s="893" t="s">
        <v>980</v>
      </c>
      <c r="H26" s="894"/>
      <c r="I26" s="894"/>
      <c r="J26" s="894"/>
      <c r="K26" s="894"/>
      <c r="L26" s="894"/>
      <c r="M26" s="895"/>
      <c r="N26" s="44"/>
    </row>
    <row r="27" spans="1:14" ht="30" customHeight="1" x14ac:dyDescent="0.25">
      <c r="A27" s="218" t="s">
        <v>24</v>
      </c>
      <c r="B27" s="853"/>
      <c r="C27" s="853"/>
      <c r="D27" s="853"/>
      <c r="E27" s="853"/>
      <c r="G27" s="896"/>
      <c r="H27" s="897"/>
      <c r="I27" s="897"/>
      <c r="J27" s="897"/>
      <c r="K27" s="897"/>
      <c r="L27" s="897"/>
      <c r="M27" s="898"/>
      <c r="N27" s="44"/>
    </row>
    <row r="28" spans="1:14" ht="30" customHeight="1" x14ac:dyDescent="0.25">
      <c r="A28" s="213" t="s">
        <v>418</v>
      </c>
      <c r="B28" s="853" t="s">
        <v>830</v>
      </c>
      <c r="C28" s="853"/>
      <c r="D28" s="853"/>
      <c r="E28" s="853"/>
      <c r="F28" s="37" t="s">
        <v>427</v>
      </c>
    </row>
    <row r="30" spans="1:14" x14ac:dyDescent="0.25">
      <c r="B30" s="867" t="s">
        <v>530</v>
      </c>
      <c r="C30" s="867"/>
      <c r="D30" s="867"/>
      <c r="E30" s="143" t="s">
        <v>538</v>
      </c>
    </row>
    <row r="31" spans="1:14" x14ac:dyDescent="0.25">
      <c r="B31" s="864" t="s">
        <v>521</v>
      </c>
      <c r="C31" s="864"/>
      <c r="D31" s="864"/>
      <c r="E31" s="114">
        <v>1</v>
      </c>
      <c r="G31" s="866" t="s">
        <v>538</v>
      </c>
      <c r="H31" s="866"/>
      <c r="I31" s="866"/>
    </row>
    <row r="32" spans="1:14" x14ac:dyDescent="0.25">
      <c r="B32" s="864" t="s">
        <v>522</v>
      </c>
      <c r="C32" s="864"/>
      <c r="D32" s="864"/>
      <c r="E32" s="114"/>
      <c r="G32" s="252">
        <v>3</v>
      </c>
      <c r="H32" s="866" t="s">
        <v>535</v>
      </c>
      <c r="I32" s="866"/>
    </row>
    <row r="33" spans="2:9" x14ac:dyDescent="0.25">
      <c r="B33" s="864" t="s">
        <v>524</v>
      </c>
      <c r="C33" s="864"/>
      <c r="D33" s="864"/>
      <c r="E33" s="114"/>
      <c r="G33" s="252">
        <v>2</v>
      </c>
      <c r="H33" s="866" t="s">
        <v>536</v>
      </c>
      <c r="I33" s="866"/>
    </row>
    <row r="34" spans="2:9" x14ac:dyDescent="0.25">
      <c r="B34" s="864" t="s">
        <v>523</v>
      </c>
      <c r="C34" s="864"/>
      <c r="D34" s="864"/>
      <c r="E34" s="114"/>
      <c r="G34" s="252">
        <v>1</v>
      </c>
      <c r="H34" s="866" t="s">
        <v>537</v>
      </c>
      <c r="I34" s="866"/>
    </row>
    <row r="35" spans="2:9" x14ac:dyDescent="0.25">
      <c r="B35" s="864" t="s">
        <v>525</v>
      </c>
      <c r="C35" s="864"/>
      <c r="D35" s="864"/>
      <c r="E35" s="114"/>
    </row>
    <row r="36" spans="2:9" x14ac:dyDescent="0.25">
      <c r="B36" s="864" t="s">
        <v>526</v>
      </c>
      <c r="C36" s="864"/>
      <c r="D36" s="864"/>
      <c r="E36" s="114"/>
    </row>
    <row r="37" spans="2:9" x14ac:dyDescent="0.25">
      <c r="B37" s="864" t="s">
        <v>527</v>
      </c>
      <c r="C37" s="864"/>
      <c r="D37" s="864"/>
      <c r="E37" s="114"/>
    </row>
    <row r="38" spans="2:9" x14ac:dyDescent="0.25">
      <c r="B38" s="864" t="s">
        <v>528</v>
      </c>
      <c r="C38" s="864"/>
      <c r="D38" s="864"/>
      <c r="E38" s="114"/>
    </row>
    <row r="39" spans="2:9" x14ac:dyDescent="0.25">
      <c r="B39" s="864" t="s">
        <v>529</v>
      </c>
      <c r="C39" s="864"/>
      <c r="D39" s="864"/>
      <c r="E39" s="114"/>
      <c r="G39" s="863" t="s">
        <v>541</v>
      </c>
      <c r="H39" s="863"/>
      <c r="I39" s="863"/>
    </row>
    <row r="40" spans="2:9" x14ac:dyDescent="0.25">
      <c r="B40" s="865" t="s">
        <v>395</v>
      </c>
      <c r="C40" s="865"/>
      <c r="D40" s="865"/>
      <c r="E40" s="258">
        <f>SUM(E31:E39)</f>
        <v>1</v>
      </c>
      <c r="G40" s="254" t="s">
        <v>542</v>
      </c>
      <c r="H40" s="257" t="s">
        <v>543</v>
      </c>
      <c r="I40" s="254" t="s">
        <v>544</v>
      </c>
    </row>
    <row r="41" spans="2:9" x14ac:dyDescent="0.25">
      <c r="E41" s="202" t="s">
        <v>576</v>
      </c>
      <c r="G41" s="254" t="s">
        <v>545</v>
      </c>
      <c r="H41" s="254" t="s">
        <v>547</v>
      </c>
      <c r="I41" s="254" t="s">
        <v>546</v>
      </c>
    </row>
    <row r="43" spans="2:9" x14ac:dyDescent="0.25">
      <c r="B43" s="860" t="s">
        <v>520</v>
      </c>
      <c r="C43" s="861"/>
      <c r="D43" s="862"/>
      <c r="E43" s="251">
        <v>1</v>
      </c>
      <c r="G43" s="254">
        <v>1</v>
      </c>
      <c r="H43" s="254" t="s">
        <v>539</v>
      </c>
    </row>
    <row r="44" spans="2:9" x14ac:dyDescent="0.25">
      <c r="G44" s="254">
        <v>0</v>
      </c>
      <c r="H44" s="254" t="s">
        <v>540</v>
      </c>
    </row>
  </sheetData>
  <mergeCells count="47">
    <mergeCell ref="B19:E19"/>
    <mergeCell ref="B20:E20"/>
    <mergeCell ref="B21:E21"/>
    <mergeCell ref="B23:E23"/>
    <mergeCell ref="G6:I6"/>
    <mergeCell ref="B16:E16"/>
    <mergeCell ref="B17:E17"/>
    <mergeCell ref="B18:E18"/>
    <mergeCell ref="B11:E11"/>
    <mergeCell ref="B12:E12"/>
    <mergeCell ref="B13:E13"/>
    <mergeCell ref="B14:E14"/>
    <mergeCell ref="B15:E15"/>
    <mergeCell ref="B10:E10"/>
    <mergeCell ref="A2:E2"/>
    <mergeCell ref="C5:D5"/>
    <mergeCell ref="B7:E7"/>
    <mergeCell ref="B8:E8"/>
    <mergeCell ref="B9:E9"/>
    <mergeCell ref="C4:D4"/>
    <mergeCell ref="B24:E24"/>
    <mergeCell ref="B22:E22"/>
    <mergeCell ref="G31:I31"/>
    <mergeCell ref="B32:D32"/>
    <mergeCell ref="H32:I32"/>
    <mergeCell ref="B25:E25"/>
    <mergeCell ref="B26:E26"/>
    <mergeCell ref="B27:E27"/>
    <mergeCell ref="B28:E28"/>
    <mergeCell ref="G24:M24"/>
    <mergeCell ref="G26:M27"/>
    <mergeCell ref="B43:D43"/>
    <mergeCell ref="G4:I4"/>
    <mergeCell ref="G5:I5"/>
    <mergeCell ref="G39:I39"/>
    <mergeCell ref="B36:D36"/>
    <mergeCell ref="B37:D37"/>
    <mergeCell ref="B38:D38"/>
    <mergeCell ref="B39:D39"/>
    <mergeCell ref="B40:D40"/>
    <mergeCell ref="B33:D33"/>
    <mergeCell ref="H33:I33"/>
    <mergeCell ref="B34:D34"/>
    <mergeCell ref="H34:I34"/>
    <mergeCell ref="B35:D35"/>
    <mergeCell ref="B30:D30"/>
    <mergeCell ref="B31:D31"/>
  </mergeCells>
  <conditionalFormatting sqref="E5">
    <cfRule type="containsText" dxfId="158" priority="1" operator="containsText" text="Terminé">
      <formula>NOT(ISERROR(SEARCH("Terminé",E5)))</formula>
    </cfRule>
    <cfRule type="containsText" dxfId="157" priority="2" operator="containsText" text="En cours">
      <formula>NOT(ISERROR(SEARCH("En cours",E5)))</formula>
    </cfRule>
    <cfRule type="containsText" dxfId="156"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pageSetup paperSize="9" scale="84"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4"/>
  <sheetViews>
    <sheetView topLeftCell="B22" zoomScaleNormal="100" zoomScaleSheetLayoutView="220" workbookViewId="0">
      <selection activeCell="K29" sqref="K29"/>
    </sheetView>
  </sheetViews>
  <sheetFormatPr baseColWidth="10" defaultRowHeight="15" x14ac:dyDescent="0.25"/>
  <cols>
    <col min="1" max="1" width="40.7109375" customWidth="1"/>
    <col min="2" max="2" width="16.7109375" customWidth="1"/>
    <col min="3" max="3" width="17.140625" customWidth="1"/>
    <col min="5" max="5" width="17.42578125" customWidth="1"/>
    <col min="6" max="6" width="1.140625" customWidth="1"/>
    <col min="7" max="9" width="11.42578125" style="37"/>
    <col min="10" max="13" width="11.42578125" style="37" customWidth="1"/>
    <col min="14" max="15" width="11.42578125" style="37"/>
  </cols>
  <sheetData>
    <row r="1" spans="1:15" ht="21" x14ac:dyDescent="0.35">
      <c r="A1" s="11" t="s">
        <v>87</v>
      </c>
      <c r="B1" s="11"/>
      <c r="C1" s="11"/>
      <c r="D1" s="11"/>
      <c r="E1" s="11"/>
    </row>
    <row r="2" spans="1:15" ht="26.25" x14ac:dyDescent="0.4">
      <c r="A2" s="856" t="s">
        <v>913</v>
      </c>
      <c r="B2" s="856"/>
      <c r="C2" s="856"/>
      <c r="D2" s="856"/>
      <c r="E2" s="856"/>
    </row>
    <row r="3" spans="1:15" ht="27" thickBot="1" x14ac:dyDescent="0.45">
      <c r="A3" s="113"/>
      <c r="B3" s="113"/>
      <c r="C3" s="113"/>
      <c r="D3" s="113"/>
      <c r="E3" s="113"/>
    </row>
    <row r="4" spans="1:15" ht="15.75" thickBot="1" x14ac:dyDescent="0.3">
      <c r="A4" s="12"/>
      <c r="B4" s="233" t="s">
        <v>469</v>
      </c>
      <c r="C4" s="851" t="s">
        <v>35</v>
      </c>
      <c r="D4" s="852"/>
      <c r="E4" s="175" t="s">
        <v>210</v>
      </c>
      <c r="G4" s="848" t="s">
        <v>914</v>
      </c>
      <c r="H4" s="848"/>
      <c r="I4" s="848"/>
    </row>
    <row r="5" spans="1:15" ht="15.75" x14ac:dyDescent="0.25">
      <c r="A5" s="381" t="s">
        <v>651</v>
      </c>
      <c r="B5" s="382" t="s">
        <v>786</v>
      </c>
      <c r="C5" s="820" t="s">
        <v>18</v>
      </c>
      <c r="D5" s="820"/>
      <c r="E5" s="232" t="s">
        <v>20</v>
      </c>
      <c r="G5" s="848" t="s">
        <v>915</v>
      </c>
      <c r="H5" s="848"/>
      <c r="I5" s="848"/>
      <c r="J5" s="44"/>
      <c r="K5" s="44"/>
      <c r="L5" s="44"/>
      <c r="M5" s="44"/>
      <c r="N5" s="44"/>
    </row>
    <row r="6" spans="1:15" ht="16.5" thickBot="1" x14ac:dyDescent="0.3">
      <c r="A6" s="379" t="s">
        <v>660</v>
      </c>
      <c r="B6" s="380" t="s">
        <v>784</v>
      </c>
      <c r="G6" s="850" t="s">
        <v>916</v>
      </c>
      <c r="H6" s="850"/>
      <c r="I6" s="850"/>
      <c r="J6" s="44"/>
      <c r="K6" s="44"/>
      <c r="L6" s="44"/>
      <c r="M6" s="44"/>
      <c r="N6" s="44"/>
    </row>
    <row r="7" spans="1:15" ht="24" customHeight="1" thickBot="1" x14ac:dyDescent="0.3">
      <c r="A7" s="207" t="s">
        <v>1</v>
      </c>
      <c r="B7" s="857" t="s">
        <v>93</v>
      </c>
      <c r="C7" s="857"/>
      <c r="D7" s="857"/>
      <c r="E7" s="857"/>
      <c r="F7" s="44"/>
      <c r="G7" s="44"/>
      <c r="H7" s="44"/>
      <c r="I7" s="44"/>
      <c r="J7" s="44"/>
      <c r="K7" s="44"/>
      <c r="L7" s="44"/>
      <c r="M7" s="44"/>
      <c r="N7" s="44"/>
      <c r="O7" s="44"/>
    </row>
    <row r="8" spans="1:15" ht="24" customHeight="1" thickBot="1" x14ac:dyDescent="0.3">
      <c r="A8" s="207" t="s">
        <v>0</v>
      </c>
      <c r="B8" s="857" t="s">
        <v>197</v>
      </c>
      <c r="C8" s="857"/>
      <c r="D8" s="857"/>
      <c r="E8" s="857"/>
      <c r="F8" s="44"/>
      <c r="G8" s="44"/>
      <c r="H8" s="44"/>
      <c r="I8" s="44"/>
      <c r="J8" s="44"/>
      <c r="K8" s="44"/>
      <c r="L8" s="44"/>
      <c r="M8" s="44"/>
      <c r="N8" s="44"/>
      <c r="O8" s="44"/>
    </row>
    <row r="9" spans="1:15" ht="68.25" customHeight="1" x14ac:dyDescent="0.25">
      <c r="A9" s="214" t="s">
        <v>2</v>
      </c>
      <c r="B9" s="854" t="s">
        <v>725</v>
      </c>
      <c r="C9" s="854"/>
      <c r="D9" s="854"/>
      <c r="E9" s="854"/>
      <c r="F9" s="44"/>
      <c r="G9" s="183" t="s">
        <v>198</v>
      </c>
      <c r="H9" s="189" t="s">
        <v>411</v>
      </c>
      <c r="I9" s="117" t="s">
        <v>199</v>
      </c>
      <c r="J9" s="117" t="s">
        <v>200</v>
      </c>
      <c r="K9" s="116" t="s">
        <v>201</v>
      </c>
      <c r="L9" s="116" t="s">
        <v>204</v>
      </c>
    </row>
    <row r="10" spans="1:15" ht="35.25" customHeight="1" x14ac:dyDescent="0.25">
      <c r="A10" s="214" t="s">
        <v>31</v>
      </c>
      <c r="B10" s="854" t="s">
        <v>415</v>
      </c>
      <c r="C10" s="854"/>
      <c r="D10" s="854"/>
      <c r="E10" s="854"/>
      <c r="F10" s="44"/>
      <c r="G10" s="186">
        <f>SUM(H14:H17)</f>
        <v>200</v>
      </c>
      <c r="H10" s="190">
        <f>H12*L10*10</f>
        <v>4808.2245199409163</v>
      </c>
      <c r="I10" s="187">
        <v>50</v>
      </c>
      <c r="J10" s="187">
        <v>110</v>
      </c>
      <c r="K10" s="188">
        <v>0.7</v>
      </c>
      <c r="L10" s="188">
        <v>0.28000000000000003</v>
      </c>
    </row>
    <row r="11" spans="1:15" ht="30" customHeight="1" x14ac:dyDescent="0.25">
      <c r="A11" s="215" t="s">
        <v>16</v>
      </c>
      <c r="B11" s="874" t="s">
        <v>512</v>
      </c>
      <c r="C11" s="874"/>
      <c r="D11" s="874"/>
      <c r="E11" s="874"/>
      <c r="F11" s="44"/>
      <c r="G11" s="44"/>
      <c r="H11" s="121"/>
      <c r="I11" s="44"/>
      <c r="J11" s="44"/>
      <c r="K11" s="44"/>
      <c r="L11" s="44"/>
      <c r="M11" s="44"/>
      <c r="N11" s="44"/>
    </row>
    <row r="12" spans="1:15" ht="30" customHeight="1" x14ac:dyDescent="0.25">
      <c r="A12" s="215" t="s">
        <v>3</v>
      </c>
      <c r="B12" s="874"/>
      <c r="C12" s="874"/>
      <c r="D12" s="874"/>
      <c r="E12" s="874"/>
      <c r="F12" s="44"/>
      <c r="G12" s="44"/>
      <c r="H12" s="122">
        <f>(L15+M15)/K15*100</f>
        <v>1717.2230428360415</v>
      </c>
      <c r="I12" s="44"/>
      <c r="J12" s="44"/>
      <c r="K12" s="44"/>
      <c r="L12" s="44"/>
      <c r="M12" s="44"/>
      <c r="N12" s="44"/>
    </row>
    <row r="13" spans="1:15" ht="30" customHeight="1" x14ac:dyDescent="0.25">
      <c r="A13" s="215" t="s">
        <v>17</v>
      </c>
      <c r="B13" s="874"/>
      <c r="C13" s="874"/>
      <c r="D13" s="874"/>
      <c r="E13" s="874"/>
      <c r="F13" s="44"/>
      <c r="G13" s="44"/>
      <c r="H13" s="44"/>
      <c r="I13" s="44"/>
      <c r="J13" s="44"/>
      <c r="K13" s="44"/>
      <c r="L13" s="44"/>
      <c r="M13" s="44"/>
      <c r="N13" s="44"/>
    </row>
    <row r="14" spans="1:15" ht="30" customHeight="1" x14ac:dyDescent="0.25">
      <c r="A14" s="215" t="s">
        <v>4</v>
      </c>
      <c r="B14" s="874">
        <v>2015</v>
      </c>
      <c r="C14" s="874"/>
      <c r="D14" s="874"/>
      <c r="E14" s="874"/>
      <c r="F14" s="44"/>
      <c r="G14" s="123" t="s">
        <v>205</v>
      </c>
      <c r="H14" s="123">
        <v>200</v>
      </c>
      <c r="I14" s="117" t="s">
        <v>202</v>
      </c>
      <c r="J14" s="117" t="s">
        <v>189</v>
      </c>
      <c r="K14" s="117" t="s">
        <v>203</v>
      </c>
      <c r="L14" s="117" t="s">
        <v>412</v>
      </c>
      <c r="M14" s="117" t="s">
        <v>413</v>
      </c>
      <c r="N14" s="44"/>
    </row>
    <row r="15" spans="1:15" ht="30" customHeight="1" x14ac:dyDescent="0.25">
      <c r="A15" s="215" t="s">
        <v>5</v>
      </c>
      <c r="B15" s="874">
        <v>2020</v>
      </c>
      <c r="C15" s="874"/>
      <c r="D15" s="874"/>
      <c r="E15" s="874"/>
      <c r="F15" s="44"/>
      <c r="G15" s="123" t="s">
        <v>206</v>
      </c>
      <c r="H15" s="123">
        <v>0</v>
      </c>
      <c r="I15" s="187">
        <v>0.26100000000000001</v>
      </c>
      <c r="J15" s="191">
        <f>J21</f>
        <v>0.23631551059730252</v>
      </c>
      <c r="K15" s="187">
        <v>3385</v>
      </c>
      <c r="L15" s="187">
        <v>50372</v>
      </c>
      <c r="M15" s="192">
        <v>7756</v>
      </c>
      <c r="N15" s="44"/>
    </row>
    <row r="16" spans="1:15" ht="30" customHeight="1" x14ac:dyDescent="0.25">
      <c r="A16" s="215" t="s">
        <v>6</v>
      </c>
      <c r="B16" s="859">
        <f>G10*I10*J10</f>
        <v>1100000</v>
      </c>
      <c r="C16" s="859"/>
      <c r="D16" s="859"/>
      <c r="E16" s="859"/>
      <c r="F16" s="44"/>
      <c r="G16" s="123" t="s">
        <v>207</v>
      </c>
      <c r="H16" s="123">
        <v>0</v>
      </c>
      <c r="K16" s="44"/>
      <c r="L16" s="44"/>
      <c r="M16" s="44"/>
      <c r="N16" s="44"/>
    </row>
    <row r="17" spans="1:14" ht="30" customHeight="1" x14ac:dyDescent="0.25">
      <c r="A17" s="215" t="s">
        <v>7</v>
      </c>
      <c r="B17" s="859">
        <f>G10*J10*5</f>
        <v>110000</v>
      </c>
      <c r="C17" s="859"/>
      <c r="D17" s="859"/>
      <c r="E17" s="859"/>
      <c r="F17" s="44"/>
      <c r="G17" s="123" t="s">
        <v>407</v>
      </c>
      <c r="H17" s="123">
        <v>0</v>
      </c>
      <c r="K17" s="44"/>
      <c r="L17" s="44"/>
      <c r="M17" s="44"/>
      <c r="N17" s="44"/>
    </row>
    <row r="18" spans="1:14" ht="30" customHeight="1" x14ac:dyDescent="0.25">
      <c r="A18" s="210" t="s">
        <v>468</v>
      </c>
      <c r="B18" s="868">
        <f>G10*H10</f>
        <v>961644.90398818324</v>
      </c>
      <c r="C18" s="869"/>
      <c r="D18" s="869"/>
      <c r="E18" s="869"/>
      <c r="F18" s="44"/>
      <c r="G18" s="44"/>
      <c r="H18" s="47"/>
      <c r="I18" s="44"/>
      <c r="J18" s="44"/>
      <c r="K18" s="44"/>
      <c r="L18" s="44"/>
      <c r="M18" s="44"/>
      <c r="N18" s="44"/>
    </row>
    <row r="19" spans="1:14" ht="30" customHeight="1" x14ac:dyDescent="0.25">
      <c r="A19" s="238" t="s">
        <v>467</v>
      </c>
      <c r="B19" s="870"/>
      <c r="C19" s="871"/>
      <c r="D19" s="871"/>
      <c r="E19" s="871"/>
      <c r="F19" s="44"/>
      <c r="G19" s="44"/>
      <c r="H19" s="47"/>
      <c r="I19" s="193">
        <f>L15</f>
        <v>50372</v>
      </c>
      <c r="J19" s="193">
        <v>0.26100000000000001</v>
      </c>
      <c r="K19" s="193"/>
      <c r="L19" s="44"/>
      <c r="M19" s="44"/>
      <c r="N19" s="44"/>
    </row>
    <row r="20" spans="1:14" ht="30" customHeight="1" x14ac:dyDescent="0.25">
      <c r="A20" s="215" t="s">
        <v>8</v>
      </c>
      <c r="B20" s="845">
        <f>(B18*K10/10)</f>
        <v>67315.143279172815</v>
      </c>
      <c r="C20" s="845"/>
      <c r="D20" s="845"/>
      <c r="E20" s="845"/>
      <c r="F20" s="44"/>
      <c r="G20" s="44"/>
      <c r="H20" s="44"/>
      <c r="I20" s="193">
        <f>M15</f>
        <v>7756</v>
      </c>
      <c r="J20" s="193">
        <v>7.5999999999999998E-2</v>
      </c>
      <c r="K20" s="193"/>
      <c r="L20" s="44"/>
      <c r="M20" s="44"/>
      <c r="N20" s="44"/>
    </row>
    <row r="21" spans="1:14" ht="30" customHeight="1" x14ac:dyDescent="0.25">
      <c r="A21" s="215" t="s">
        <v>9</v>
      </c>
      <c r="B21" s="845"/>
      <c r="C21" s="845"/>
      <c r="D21" s="845"/>
      <c r="E21" s="845"/>
      <c r="F21" s="44"/>
      <c r="G21" s="44"/>
      <c r="H21" s="44"/>
      <c r="I21" s="193">
        <f>I19+I20</f>
        <v>58128</v>
      </c>
      <c r="J21" s="194">
        <f>K21/I21</f>
        <v>0.23631551059730252</v>
      </c>
      <c r="K21" s="193">
        <f>(I19*J19)+(I20*J20)</f>
        <v>13736.548000000001</v>
      </c>
      <c r="L21" s="44"/>
      <c r="M21" s="44"/>
      <c r="N21" s="44"/>
    </row>
    <row r="22" spans="1:14" ht="30" customHeight="1" x14ac:dyDescent="0.25">
      <c r="A22" s="215" t="s">
        <v>465</v>
      </c>
      <c r="B22" s="846">
        <f>B16/(B20+B21)</f>
        <v>16.341048186409164</v>
      </c>
      <c r="C22" s="846"/>
      <c r="D22" s="846"/>
      <c r="E22" s="846"/>
      <c r="F22" s="44"/>
      <c r="G22" s="44"/>
      <c r="H22" s="44"/>
      <c r="I22" s="44"/>
      <c r="J22" s="44"/>
      <c r="K22" s="44"/>
      <c r="L22" s="44"/>
      <c r="M22" s="44"/>
      <c r="N22" s="44"/>
    </row>
    <row r="23" spans="1:14" ht="30" customHeight="1" x14ac:dyDescent="0.25">
      <c r="A23" s="215" t="s">
        <v>466</v>
      </c>
      <c r="B23" s="847">
        <f>(B16-B17)/(B20+B21)</f>
        <v>14.706943367768249</v>
      </c>
      <c r="C23" s="847"/>
      <c r="D23" s="847"/>
      <c r="E23" s="847"/>
      <c r="F23" s="44"/>
      <c r="G23" s="37" t="s">
        <v>977</v>
      </c>
      <c r="H23" s="37" t="s">
        <v>978</v>
      </c>
      <c r="N23" s="44"/>
    </row>
    <row r="24" spans="1:14" ht="30" customHeight="1" x14ac:dyDescent="0.25">
      <c r="A24" s="216" t="s">
        <v>476</v>
      </c>
      <c r="B24" s="849">
        <f>B18*J15/1000</f>
        <v>227.2516064992615</v>
      </c>
      <c r="C24" s="849"/>
      <c r="D24" s="849"/>
      <c r="E24" s="849"/>
      <c r="F24" s="44"/>
      <c r="G24" s="892">
        <v>100</v>
      </c>
      <c r="H24" s="892"/>
      <c r="I24" s="892"/>
      <c r="J24" s="892"/>
      <c r="K24" s="892"/>
      <c r="L24" s="892"/>
      <c r="M24" s="892"/>
      <c r="N24" s="44"/>
    </row>
    <row r="25" spans="1:14" ht="30" customHeight="1" x14ac:dyDescent="0.25">
      <c r="A25" s="217" t="s">
        <v>463</v>
      </c>
      <c r="B25" s="881">
        <f>B24/'Objectifs CO2'!C12</f>
        <v>6.5860729568529841E-2</v>
      </c>
      <c r="C25" s="881"/>
      <c r="D25" s="881"/>
      <c r="E25" s="881"/>
      <c r="G25" s="37" t="s">
        <v>979</v>
      </c>
      <c r="N25" s="44"/>
    </row>
    <row r="26" spans="1:14" ht="30" customHeight="1" x14ac:dyDescent="0.25">
      <c r="A26" s="218" t="s">
        <v>464</v>
      </c>
      <c r="B26" s="881">
        <f>B24/'Objectifs CO2'!C8</f>
        <v>3.2930364784264921E-2</v>
      </c>
      <c r="C26" s="881"/>
      <c r="D26" s="881"/>
      <c r="E26" s="881"/>
      <c r="G26" s="893" t="s">
        <v>985</v>
      </c>
      <c r="H26" s="894"/>
      <c r="I26" s="894"/>
      <c r="J26" s="894"/>
      <c r="K26" s="894"/>
      <c r="L26" s="894"/>
      <c r="M26" s="895"/>
      <c r="N26" s="44"/>
    </row>
    <row r="27" spans="1:14" ht="30" customHeight="1" x14ac:dyDescent="0.25">
      <c r="A27" s="218" t="s">
        <v>24</v>
      </c>
      <c r="B27" s="853"/>
      <c r="C27" s="853"/>
      <c r="D27" s="853"/>
      <c r="E27" s="853"/>
      <c r="G27" s="896"/>
      <c r="H27" s="897"/>
      <c r="I27" s="897"/>
      <c r="J27" s="897"/>
      <c r="K27" s="897"/>
      <c r="L27" s="897"/>
      <c r="M27" s="898"/>
      <c r="N27" s="44"/>
    </row>
    <row r="28" spans="1:14" ht="30" customHeight="1" x14ac:dyDescent="0.25">
      <c r="A28" s="213" t="s">
        <v>418</v>
      </c>
      <c r="B28" s="853" t="s">
        <v>831</v>
      </c>
      <c r="C28" s="853"/>
      <c r="D28" s="853"/>
      <c r="E28" s="853"/>
      <c r="F28" s="37" t="s">
        <v>427</v>
      </c>
    </row>
    <row r="30" spans="1:14" x14ac:dyDescent="0.25">
      <c r="B30" s="867" t="s">
        <v>530</v>
      </c>
      <c r="C30" s="867"/>
      <c r="D30" s="867"/>
      <c r="E30" s="143" t="s">
        <v>538</v>
      </c>
      <c r="F30" s="37"/>
    </row>
    <row r="31" spans="1:14" x14ac:dyDescent="0.25">
      <c r="B31" s="864" t="s">
        <v>521</v>
      </c>
      <c r="C31" s="864"/>
      <c r="D31" s="864"/>
      <c r="E31" s="114"/>
      <c r="F31" s="37"/>
      <c r="G31" s="866" t="s">
        <v>538</v>
      </c>
      <c r="H31" s="866"/>
      <c r="I31" s="866"/>
    </row>
    <row r="32" spans="1:14" x14ac:dyDescent="0.25">
      <c r="B32" s="864" t="s">
        <v>522</v>
      </c>
      <c r="C32" s="864"/>
      <c r="D32" s="864"/>
      <c r="E32" s="114"/>
      <c r="F32" s="37"/>
      <c r="G32" s="252">
        <v>3</v>
      </c>
      <c r="H32" s="866" t="s">
        <v>535</v>
      </c>
      <c r="I32" s="866"/>
    </row>
    <row r="33" spans="2:9" x14ac:dyDescent="0.25">
      <c r="B33" s="864" t="s">
        <v>524</v>
      </c>
      <c r="C33" s="864"/>
      <c r="D33" s="864"/>
      <c r="E33" s="114"/>
      <c r="F33" s="37"/>
      <c r="G33" s="252">
        <v>2</v>
      </c>
      <c r="H33" s="866" t="s">
        <v>536</v>
      </c>
      <c r="I33" s="866"/>
    </row>
    <row r="34" spans="2:9" x14ac:dyDescent="0.25">
      <c r="B34" s="864" t="s">
        <v>523</v>
      </c>
      <c r="C34" s="864"/>
      <c r="D34" s="864"/>
      <c r="E34" s="114"/>
      <c r="F34" s="37"/>
      <c r="G34" s="252">
        <v>1</v>
      </c>
      <c r="H34" s="866" t="s">
        <v>537</v>
      </c>
      <c r="I34" s="866"/>
    </row>
    <row r="35" spans="2:9" x14ac:dyDescent="0.25">
      <c r="B35" s="864" t="s">
        <v>525</v>
      </c>
      <c r="C35" s="864"/>
      <c r="D35" s="864"/>
      <c r="E35" s="114"/>
      <c r="F35" s="37"/>
    </row>
    <row r="36" spans="2:9" x14ac:dyDescent="0.25">
      <c r="B36" s="864" t="s">
        <v>526</v>
      </c>
      <c r="C36" s="864"/>
      <c r="D36" s="864"/>
      <c r="E36" s="114"/>
      <c r="F36" s="37"/>
    </row>
    <row r="37" spans="2:9" x14ac:dyDescent="0.25">
      <c r="B37" s="864" t="s">
        <v>527</v>
      </c>
      <c r="C37" s="864"/>
      <c r="D37" s="864"/>
      <c r="E37" s="114"/>
      <c r="F37" s="37"/>
    </row>
    <row r="38" spans="2:9" x14ac:dyDescent="0.25">
      <c r="B38" s="864" t="s">
        <v>528</v>
      </c>
      <c r="C38" s="864"/>
      <c r="D38" s="864"/>
      <c r="E38" s="114"/>
      <c r="F38" s="37"/>
    </row>
    <row r="39" spans="2:9" x14ac:dyDescent="0.25">
      <c r="B39" s="864" t="s">
        <v>529</v>
      </c>
      <c r="C39" s="864"/>
      <c r="D39" s="864"/>
      <c r="E39" s="114"/>
      <c r="F39" s="37"/>
      <c r="G39" s="863" t="s">
        <v>541</v>
      </c>
      <c r="H39" s="863"/>
      <c r="I39" s="863"/>
    </row>
    <row r="40" spans="2:9" x14ac:dyDescent="0.25">
      <c r="B40" s="865" t="s">
        <v>395</v>
      </c>
      <c r="C40" s="865"/>
      <c r="D40" s="865"/>
      <c r="E40" s="258">
        <f>SUM(E31:E39)</f>
        <v>0</v>
      </c>
      <c r="F40" s="37"/>
      <c r="G40" s="254" t="s">
        <v>542</v>
      </c>
      <c r="H40" s="257" t="s">
        <v>543</v>
      </c>
      <c r="I40" s="254" t="s">
        <v>544</v>
      </c>
    </row>
    <row r="41" spans="2:9" x14ac:dyDescent="0.25">
      <c r="B41" s="37"/>
      <c r="C41" s="37"/>
      <c r="D41" s="37"/>
      <c r="E41" s="202" t="s">
        <v>576</v>
      </c>
      <c r="F41" s="37"/>
      <c r="G41" s="254" t="s">
        <v>545</v>
      </c>
      <c r="H41" s="254" t="s">
        <v>547</v>
      </c>
      <c r="I41" s="254" t="s">
        <v>546</v>
      </c>
    </row>
    <row r="42" spans="2:9" x14ac:dyDescent="0.25">
      <c r="B42" s="37"/>
      <c r="C42" s="37"/>
      <c r="D42" s="37"/>
      <c r="E42" s="37"/>
      <c r="F42" s="37"/>
    </row>
    <row r="43" spans="2:9" x14ac:dyDescent="0.25">
      <c r="B43" s="860" t="s">
        <v>520</v>
      </c>
      <c r="C43" s="861"/>
      <c r="D43" s="862"/>
      <c r="E43" s="251">
        <v>1</v>
      </c>
      <c r="F43" s="37"/>
      <c r="G43" s="254">
        <v>1</v>
      </c>
      <c r="H43" s="254" t="s">
        <v>539</v>
      </c>
    </row>
    <row r="44" spans="2:9" x14ac:dyDescent="0.25">
      <c r="B44" s="37"/>
      <c r="C44" s="37"/>
      <c r="D44" s="37"/>
      <c r="E44" s="37"/>
      <c r="F44" s="37"/>
      <c r="G44" s="254">
        <v>0</v>
      </c>
      <c r="H44" s="254" t="s">
        <v>540</v>
      </c>
    </row>
  </sheetData>
  <mergeCells count="47">
    <mergeCell ref="B9:E9"/>
    <mergeCell ref="G6:I6"/>
    <mergeCell ref="B26:E26"/>
    <mergeCell ref="B27:E27"/>
    <mergeCell ref="B21:E21"/>
    <mergeCell ref="B22:E22"/>
    <mergeCell ref="B23:E23"/>
    <mergeCell ref="B24:E24"/>
    <mergeCell ref="B10:E10"/>
    <mergeCell ref="B11:E11"/>
    <mergeCell ref="B12:E12"/>
    <mergeCell ref="B18:E18"/>
    <mergeCell ref="B25:E25"/>
    <mergeCell ref="G24:M24"/>
    <mergeCell ref="G26:M27"/>
    <mergeCell ref="B31:D31"/>
    <mergeCell ref="G31:I31"/>
    <mergeCell ref="B32:D32"/>
    <mergeCell ref="H32:I32"/>
    <mergeCell ref="A2:E2"/>
    <mergeCell ref="C5:D5"/>
    <mergeCell ref="B19:E19"/>
    <mergeCell ref="B13:E13"/>
    <mergeCell ref="B14:E14"/>
    <mergeCell ref="B15:E15"/>
    <mergeCell ref="B16:E16"/>
    <mergeCell ref="B17:E17"/>
    <mergeCell ref="B28:E28"/>
    <mergeCell ref="B20:E20"/>
    <mergeCell ref="B7:E7"/>
    <mergeCell ref="B8:E8"/>
    <mergeCell ref="C4:D4"/>
    <mergeCell ref="B43:D43"/>
    <mergeCell ref="G4:I4"/>
    <mergeCell ref="G5:I5"/>
    <mergeCell ref="G39:I39"/>
    <mergeCell ref="B36:D36"/>
    <mergeCell ref="B37:D37"/>
    <mergeCell ref="B38:D38"/>
    <mergeCell ref="B39:D39"/>
    <mergeCell ref="B40:D40"/>
    <mergeCell ref="B33:D33"/>
    <mergeCell ref="H33:I33"/>
    <mergeCell ref="B34:D34"/>
    <mergeCell ref="H34:I34"/>
    <mergeCell ref="B35:D35"/>
    <mergeCell ref="B30:D30"/>
  </mergeCells>
  <conditionalFormatting sqref="E5">
    <cfRule type="containsText" dxfId="155" priority="1" operator="containsText" text="Terminé">
      <formula>NOT(ISERROR(SEARCH("Terminé",E5)))</formula>
    </cfRule>
    <cfRule type="containsText" dxfId="154" priority="2" operator="containsText" text="En cours">
      <formula>NOT(ISERROR(SEARCH("En cours",E5)))</formula>
    </cfRule>
    <cfRule type="containsText" dxfId="153"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pageSetup paperSize="9" scale="84"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4"/>
  <sheetViews>
    <sheetView topLeftCell="A19" zoomScaleNormal="100" zoomScaleSheetLayoutView="220" workbookViewId="0">
      <selection activeCell="I25" sqref="I25"/>
    </sheetView>
  </sheetViews>
  <sheetFormatPr baseColWidth="10" defaultRowHeight="15" x14ac:dyDescent="0.25"/>
  <cols>
    <col min="1" max="1" width="40.7109375" customWidth="1"/>
    <col min="2" max="2" width="16.7109375" customWidth="1"/>
    <col min="3" max="3" width="17.140625" customWidth="1"/>
    <col min="5" max="5" width="17.42578125" customWidth="1"/>
    <col min="6" max="6" width="1.140625" customWidth="1"/>
    <col min="7" max="9" width="11.42578125" style="37"/>
    <col min="10" max="13" width="11.42578125" style="37" customWidth="1"/>
    <col min="14" max="15" width="11.42578125" style="37"/>
  </cols>
  <sheetData>
    <row r="1" spans="1:15" ht="21" x14ac:dyDescent="0.35">
      <c r="A1" s="11" t="s">
        <v>87</v>
      </c>
      <c r="B1" s="11"/>
      <c r="C1" s="11"/>
      <c r="D1" s="11"/>
      <c r="E1" s="11"/>
    </row>
    <row r="2" spans="1:15" ht="26.25" x14ac:dyDescent="0.4">
      <c r="A2" s="856" t="s">
        <v>913</v>
      </c>
      <c r="B2" s="856"/>
      <c r="C2" s="856"/>
      <c r="D2" s="856"/>
      <c r="E2" s="856"/>
    </row>
    <row r="3" spans="1:15" ht="27" thickBot="1" x14ac:dyDescent="0.45">
      <c r="A3" s="113"/>
      <c r="B3" s="113"/>
      <c r="C3" s="113"/>
      <c r="D3" s="113"/>
      <c r="E3" s="113"/>
    </row>
    <row r="4" spans="1:15" ht="15.75" thickBot="1" x14ac:dyDescent="0.3">
      <c r="A4" s="12"/>
      <c r="B4" s="233" t="s">
        <v>469</v>
      </c>
      <c r="C4" s="851" t="s">
        <v>35</v>
      </c>
      <c r="D4" s="852"/>
      <c r="E4" s="175" t="s">
        <v>211</v>
      </c>
      <c r="G4" s="848" t="s">
        <v>914</v>
      </c>
      <c r="H4" s="848"/>
      <c r="I4" s="848"/>
    </row>
    <row r="5" spans="1:15" ht="15.75" x14ac:dyDescent="0.25">
      <c r="A5" s="381" t="s">
        <v>651</v>
      </c>
      <c r="B5" s="382" t="s">
        <v>786</v>
      </c>
      <c r="C5" s="820" t="s">
        <v>18</v>
      </c>
      <c r="D5" s="820"/>
      <c r="E5" s="232" t="s">
        <v>20</v>
      </c>
      <c r="G5" s="848" t="s">
        <v>915</v>
      </c>
      <c r="H5" s="848"/>
      <c r="I5" s="848"/>
      <c r="J5" s="44"/>
      <c r="K5" s="44"/>
      <c r="L5" s="44"/>
      <c r="M5" s="44"/>
      <c r="N5" s="44"/>
    </row>
    <row r="6" spans="1:15" ht="16.5" thickBot="1" x14ac:dyDescent="0.3">
      <c r="A6" s="379" t="s">
        <v>660</v>
      </c>
      <c r="B6" s="380" t="s">
        <v>784</v>
      </c>
      <c r="G6" s="850" t="s">
        <v>916</v>
      </c>
      <c r="H6" s="850"/>
      <c r="I6" s="850"/>
      <c r="J6" s="44"/>
      <c r="K6" s="44"/>
      <c r="L6" s="44"/>
      <c r="M6" s="44"/>
      <c r="N6" s="44"/>
    </row>
    <row r="7" spans="1:15" ht="24" customHeight="1" thickBot="1" x14ac:dyDescent="0.3">
      <c r="A7" s="207" t="s">
        <v>1</v>
      </c>
      <c r="B7" s="857" t="s">
        <v>93</v>
      </c>
      <c r="C7" s="857"/>
      <c r="D7" s="857"/>
      <c r="E7" s="857"/>
      <c r="F7" s="44"/>
      <c r="G7" s="44"/>
      <c r="H7" s="44"/>
      <c r="I7" s="44"/>
      <c r="J7" s="44"/>
      <c r="K7" s="44"/>
      <c r="L7" s="44"/>
      <c r="M7" s="44"/>
      <c r="N7" s="44"/>
      <c r="O7" s="44"/>
    </row>
    <row r="8" spans="1:15" ht="24" customHeight="1" thickBot="1" x14ac:dyDescent="0.3">
      <c r="A8" s="207" t="s">
        <v>0</v>
      </c>
      <c r="B8" s="857" t="s">
        <v>208</v>
      </c>
      <c r="C8" s="857"/>
      <c r="D8" s="857"/>
      <c r="E8" s="857"/>
      <c r="F8" s="44"/>
      <c r="G8" s="44"/>
      <c r="H8" s="44"/>
      <c r="I8" s="44"/>
      <c r="J8" s="44"/>
      <c r="K8" s="44"/>
      <c r="L8" s="44"/>
      <c r="M8" s="44"/>
      <c r="N8" s="44"/>
      <c r="O8" s="44"/>
    </row>
    <row r="9" spans="1:15" ht="61.5" customHeight="1" x14ac:dyDescent="0.25">
      <c r="A9" s="214" t="s">
        <v>2</v>
      </c>
      <c r="B9" s="854" t="s">
        <v>723</v>
      </c>
      <c r="C9" s="854"/>
      <c r="D9" s="854"/>
      <c r="E9" s="854"/>
      <c r="F9" s="44"/>
      <c r="G9" s="183" t="s">
        <v>198</v>
      </c>
      <c r="H9" s="189" t="s">
        <v>411</v>
      </c>
      <c r="I9" s="117" t="s">
        <v>199</v>
      </c>
      <c r="J9" s="117" t="s">
        <v>200</v>
      </c>
      <c r="K9" s="116" t="s">
        <v>201</v>
      </c>
      <c r="L9" s="116" t="s">
        <v>204</v>
      </c>
    </row>
    <row r="10" spans="1:15" ht="35.25" customHeight="1" x14ac:dyDescent="0.25">
      <c r="A10" s="214" t="s">
        <v>31</v>
      </c>
      <c r="B10" s="854" t="s">
        <v>416</v>
      </c>
      <c r="C10" s="854"/>
      <c r="D10" s="854"/>
      <c r="E10" s="854"/>
      <c r="F10" s="44"/>
      <c r="G10" s="186">
        <f>SUM(H14:H17)</f>
        <v>100</v>
      </c>
      <c r="H10" s="190">
        <f>H12*L10*10</f>
        <v>4293.0576070901034</v>
      </c>
      <c r="I10" s="187">
        <v>100</v>
      </c>
      <c r="J10" s="187">
        <v>140</v>
      </c>
      <c r="K10" s="188">
        <v>0.86</v>
      </c>
      <c r="L10" s="188">
        <v>0.25</v>
      </c>
    </row>
    <row r="11" spans="1:15" ht="30" customHeight="1" x14ac:dyDescent="0.25">
      <c r="A11" s="215" t="s">
        <v>16</v>
      </c>
      <c r="B11" s="874" t="s">
        <v>512</v>
      </c>
      <c r="C11" s="874"/>
      <c r="D11" s="874"/>
      <c r="E11" s="874"/>
      <c r="F11" s="44"/>
      <c r="G11" s="44"/>
      <c r="H11" s="121"/>
      <c r="I11" s="44"/>
      <c r="J11" s="44"/>
      <c r="K11" s="44"/>
      <c r="L11" s="44"/>
      <c r="M11" s="44"/>
      <c r="N11" s="44"/>
    </row>
    <row r="12" spans="1:15" ht="30" customHeight="1" x14ac:dyDescent="0.25">
      <c r="A12" s="215" t="s">
        <v>3</v>
      </c>
      <c r="B12" s="874"/>
      <c r="C12" s="874"/>
      <c r="D12" s="874"/>
      <c r="E12" s="874"/>
      <c r="F12" s="44"/>
      <c r="G12" s="44"/>
      <c r="H12" s="122">
        <f>(L15+M15)/K15*100</f>
        <v>1717.2230428360415</v>
      </c>
      <c r="I12" s="44"/>
      <c r="J12" s="44"/>
      <c r="K12" s="44"/>
      <c r="L12" s="44"/>
      <c r="M12" s="44"/>
      <c r="N12" s="44"/>
    </row>
    <row r="13" spans="1:15" ht="30" customHeight="1" x14ac:dyDescent="0.25">
      <c r="A13" s="215" t="s">
        <v>17</v>
      </c>
      <c r="B13" s="874"/>
      <c r="C13" s="874"/>
      <c r="D13" s="874"/>
      <c r="E13" s="874"/>
      <c r="F13" s="44"/>
      <c r="G13" s="44"/>
      <c r="H13" s="44"/>
      <c r="I13" s="44"/>
      <c r="J13" s="44"/>
      <c r="K13" s="44"/>
      <c r="L13" s="44"/>
      <c r="M13" s="44"/>
      <c r="N13" s="44"/>
    </row>
    <row r="14" spans="1:15" ht="30" customHeight="1" x14ac:dyDescent="0.25">
      <c r="A14" s="215" t="s">
        <v>4</v>
      </c>
      <c r="B14" s="874">
        <v>2015</v>
      </c>
      <c r="C14" s="874"/>
      <c r="D14" s="874"/>
      <c r="E14" s="874"/>
      <c r="F14" s="44"/>
      <c r="G14" s="123" t="s">
        <v>205</v>
      </c>
      <c r="H14" s="123">
        <v>0</v>
      </c>
      <c r="I14" s="117" t="s">
        <v>202</v>
      </c>
      <c r="J14" s="117" t="s">
        <v>189</v>
      </c>
      <c r="K14" s="117" t="s">
        <v>203</v>
      </c>
      <c r="L14" s="117" t="s">
        <v>412</v>
      </c>
      <c r="M14" s="117" t="s">
        <v>413</v>
      </c>
      <c r="N14" s="44"/>
    </row>
    <row r="15" spans="1:15" ht="30" customHeight="1" x14ac:dyDescent="0.25">
      <c r="A15" s="215" t="s">
        <v>5</v>
      </c>
      <c r="B15" s="874">
        <v>2020</v>
      </c>
      <c r="C15" s="874"/>
      <c r="D15" s="874"/>
      <c r="E15" s="874"/>
      <c r="F15" s="44"/>
      <c r="G15" s="123" t="s">
        <v>206</v>
      </c>
      <c r="H15" s="123">
        <v>100</v>
      </c>
      <c r="I15" s="187">
        <v>0.26100000000000001</v>
      </c>
      <c r="J15" s="191">
        <f>J21</f>
        <v>0.23631551059730252</v>
      </c>
      <c r="K15" s="187">
        <v>3385</v>
      </c>
      <c r="L15" s="187">
        <v>50372</v>
      </c>
      <c r="M15" s="192">
        <v>7756</v>
      </c>
      <c r="N15" s="44"/>
    </row>
    <row r="16" spans="1:15" ht="30" customHeight="1" x14ac:dyDescent="0.25">
      <c r="A16" s="215" t="s">
        <v>6</v>
      </c>
      <c r="B16" s="859">
        <f>G10*I10*J10</f>
        <v>1400000</v>
      </c>
      <c r="C16" s="859"/>
      <c r="D16" s="859"/>
      <c r="E16" s="859"/>
      <c r="F16" s="44"/>
      <c r="G16" s="123" t="s">
        <v>207</v>
      </c>
      <c r="H16" s="123">
        <v>0</v>
      </c>
      <c r="K16" s="44"/>
      <c r="L16" s="44"/>
      <c r="M16" s="44"/>
      <c r="N16" s="44"/>
    </row>
    <row r="17" spans="1:14" ht="30" customHeight="1" x14ac:dyDescent="0.25">
      <c r="A17" s="215" t="s">
        <v>7</v>
      </c>
      <c r="B17" s="859">
        <f>G10*J10*9</f>
        <v>126000</v>
      </c>
      <c r="C17" s="859"/>
      <c r="D17" s="859"/>
      <c r="E17" s="859"/>
      <c r="F17" s="44"/>
      <c r="G17" s="123" t="s">
        <v>407</v>
      </c>
      <c r="H17" s="123">
        <v>0</v>
      </c>
      <c r="K17" s="44"/>
      <c r="L17" s="44"/>
      <c r="M17" s="44"/>
      <c r="N17" s="44"/>
    </row>
    <row r="18" spans="1:14" ht="30" customHeight="1" x14ac:dyDescent="0.25">
      <c r="A18" s="210" t="s">
        <v>468</v>
      </c>
      <c r="B18" s="868">
        <f>G10*H10</f>
        <v>429305.76070901036</v>
      </c>
      <c r="C18" s="869"/>
      <c r="D18" s="869"/>
      <c r="E18" s="869"/>
      <c r="F18" s="44"/>
      <c r="G18" s="44"/>
      <c r="H18" s="47"/>
      <c r="I18" s="44"/>
      <c r="J18" s="44"/>
      <c r="K18" s="44"/>
      <c r="L18" s="44"/>
      <c r="M18" s="44"/>
      <c r="N18" s="44"/>
    </row>
    <row r="19" spans="1:14" ht="30" customHeight="1" x14ac:dyDescent="0.25">
      <c r="A19" s="238" t="s">
        <v>467</v>
      </c>
      <c r="B19" s="870"/>
      <c r="C19" s="871"/>
      <c r="D19" s="871"/>
      <c r="E19" s="871"/>
      <c r="F19" s="44"/>
      <c r="G19" s="44"/>
      <c r="H19" s="47"/>
      <c r="I19" s="193">
        <f>L15</f>
        <v>50372</v>
      </c>
      <c r="J19" s="193">
        <v>0.26100000000000001</v>
      </c>
      <c r="K19" s="193"/>
      <c r="L19" s="44"/>
      <c r="M19" s="44"/>
      <c r="N19" s="44"/>
    </row>
    <row r="20" spans="1:14" ht="30" customHeight="1" x14ac:dyDescent="0.25">
      <c r="A20" s="215" t="s">
        <v>8</v>
      </c>
      <c r="B20" s="845">
        <f>(B18*K10/10)</f>
        <v>36920.295420974886</v>
      </c>
      <c r="C20" s="845"/>
      <c r="D20" s="845"/>
      <c r="E20" s="845"/>
      <c r="F20" s="44"/>
      <c r="G20" s="44"/>
      <c r="H20" s="44"/>
      <c r="I20" s="193">
        <f>M15</f>
        <v>7756</v>
      </c>
      <c r="J20" s="193">
        <v>7.5999999999999998E-2</v>
      </c>
      <c r="K20" s="193"/>
      <c r="L20" s="44"/>
      <c r="M20" s="44"/>
      <c r="N20" s="44"/>
    </row>
    <row r="21" spans="1:14" ht="30" customHeight="1" x14ac:dyDescent="0.25">
      <c r="A21" s="215" t="s">
        <v>9</v>
      </c>
      <c r="B21" s="845"/>
      <c r="C21" s="845"/>
      <c r="D21" s="845"/>
      <c r="E21" s="845"/>
      <c r="F21" s="44"/>
      <c r="G21" s="44"/>
      <c r="H21" s="44"/>
      <c r="I21" s="193">
        <f>I19+I20</f>
        <v>58128</v>
      </c>
      <c r="J21" s="194">
        <f>K21/I21</f>
        <v>0.23631551059730252</v>
      </c>
      <c r="K21" s="193">
        <f>(I19*J19)+(I20*J20)</f>
        <v>13736.548000000001</v>
      </c>
      <c r="L21" s="44"/>
      <c r="M21" s="44"/>
      <c r="N21" s="44"/>
    </row>
    <row r="22" spans="1:14" ht="30" customHeight="1" x14ac:dyDescent="0.25">
      <c r="A22" s="215" t="s">
        <v>465</v>
      </c>
      <c r="B22" s="846">
        <f>B16/(B20+B21)</f>
        <v>37.919523233409514</v>
      </c>
      <c r="C22" s="846"/>
      <c r="D22" s="846"/>
      <c r="E22" s="846"/>
      <c r="F22" s="44"/>
      <c r="G22" s="44"/>
      <c r="H22" s="44"/>
      <c r="I22" s="44"/>
      <c r="J22" s="44"/>
      <c r="K22" s="44"/>
      <c r="L22" s="44"/>
      <c r="M22" s="44"/>
      <c r="N22" s="44"/>
    </row>
    <row r="23" spans="1:14" ht="30" customHeight="1" x14ac:dyDescent="0.25">
      <c r="A23" s="215" t="s">
        <v>466</v>
      </c>
      <c r="B23" s="847">
        <f>(B16-B17)/(B20+B21)</f>
        <v>34.506766142402654</v>
      </c>
      <c r="C23" s="847"/>
      <c r="D23" s="847"/>
      <c r="E23" s="847"/>
      <c r="F23" s="44"/>
      <c r="G23" s="37" t="s">
        <v>977</v>
      </c>
      <c r="H23" s="37" t="s">
        <v>978</v>
      </c>
      <c r="N23" s="44"/>
    </row>
    <row r="24" spans="1:14" ht="30" customHeight="1" x14ac:dyDescent="0.25">
      <c r="A24" s="216" t="s">
        <v>476</v>
      </c>
      <c r="B24" s="849">
        <f>B18*J15/1000</f>
        <v>101.45161004431316</v>
      </c>
      <c r="C24" s="849"/>
      <c r="D24" s="849"/>
      <c r="E24" s="849"/>
      <c r="F24" s="44"/>
      <c r="G24" s="892">
        <v>20</v>
      </c>
      <c r="H24" s="892"/>
      <c r="I24" s="892"/>
      <c r="J24" s="892"/>
      <c r="K24" s="892"/>
      <c r="L24" s="892"/>
      <c r="M24" s="892"/>
      <c r="N24" s="44"/>
    </row>
    <row r="25" spans="1:14" ht="30" customHeight="1" x14ac:dyDescent="0.25">
      <c r="A25" s="217" t="s">
        <v>463</v>
      </c>
      <c r="B25" s="881">
        <f>B24/'Objectifs CO2'!C12</f>
        <v>2.9402111414522248E-2</v>
      </c>
      <c r="C25" s="881"/>
      <c r="D25" s="881"/>
      <c r="E25" s="881"/>
      <c r="G25" s="37" t="s">
        <v>979</v>
      </c>
      <c r="N25" s="44"/>
    </row>
    <row r="26" spans="1:14" ht="30" customHeight="1" x14ac:dyDescent="0.25">
      <c r="A26" s="218" t="s">
        <v>464</v>
      </c>
      <c r="B26" s="881">
        <f>B24/'Objectifs CO2'!C8</f>
        <v>1.4701055707261124E-2</v>
      </c>
      <c r="C26" s="881"/>
      <c r="D26" s="881"/>
      <c r="E26" s="881"/>
      <c r="G26" s="893" t="s">
        <v>986</v>
      </c>
      <c r="H26" s="894"/>
      <c r="I26" s="894"/>
      <c r="J26" s="894"/>
      <c r="K26" s="894"/>
      <c r="L26" s="894"/>
      <c r="M26" s="895"/>
      <c r="N26" s="44"/>
    </row>
    <row r="27" spans="1:14" ht="30" customHeight="1" x14ac:dyDescent="0.25">
      <c r="A27" s="218" t="s">
        <v>24</v>
      </c>
      <c r="B27" s="853"/>
      <c r="C27" s="853"/>
      <c r="D27" s="853"/>
      <c r="E27" s="853"/>
      <c r="G27" s="896"/>
      <c r="H27" s="897"/>
      <c r="I27" s="897"/>
      <c r="J27" s="897"/>
      <c r="K27" s="897"/>
      <c r="L27" s="897"/>
      <c r="M27" s="898"/>
      <c r="N27" s="44"/>
    </row>
    <row r="28" spans="1:14" ht="30" customHeight="1" x14ac:dyDescent="0.25">
      <c r="A28" s="213" t="s">
        <v>418</v>
      </c>
      <c r="B28" s="853" t="s">
        <v>832</v>
      </c>
      <c r="C28" s="853"/>
      <c r="D28" s="853"/>
      <c r="E28" s="853"/>
      <c r="F28" s="37" t="s">
        <v>427</v>
      </c>
    </row>
    <row r="30" spans="1:14" x14ac:dyDescent="0.25">
      <c r="B30" s="867" t="s">
        <v>530</v>
      </c>
      <c r="C30" s="867"/>
      <c r="D30" s="867"/>
      <c r="E30" s="143" t="s">
        <v>538</v>
      </c>
      <c r="F30" s="37"/>
    </row>
    <row r="31" spans="1:14" x14ac:dyDescent="0.25">
      <c r="B31" s="864" t="s">
        <v>521</v>
      </c>
      <c r="C31" s="864"/>
      <c r="D31" s="864"/>
      <c r="E31" s="114"/>
      <c r="F31" s="37"/>
      <c r="G31" s="866" t="s">
        <v>538</v>
      </c>
      <c r="H31" s="866"/>
      <c r="I31" s="866"/>
    </row>
    <row r="32" spans="1:14" x14ac:dyDescent="0.25">
      <c r="B32" s="864" t="s">
        <v>522</v>
      </c>
      <c r="C32" s="864"/>
      <c r="D32" s="864"/>
      <c r="E32" s="114"/>
      <c r="F32" s="37"/>
      <c r="G32" s="252">
        <v>3</v>
      </c>
      <c r="H32" s="866" t="s">
        <v>535</v>
      </c>
      <c r="I32" s="866"/>
    </row>
    <row r="33" spans="2:9" x14ac:dyDescent="0.25">
      <c r="B33" s="864" t="s">
        <v>524</v>
      </c>
      <c r="C33" s="864"/>
      <c r="D33" s="864"/>
      <c r="E33" s="114"/>
      <c r="F33" s="37"/>
      <c r="G33" s="252">
        <v>2</v>
      </c>
      <c r="H33" s="866" t="s">
        <v>536</v>
      </c>
      <c r="I33" s="866"/>
    </row>
    <row r="34" spans="2:9" x14ac:dyDescent="0.25">
      <c r="B34" s="864" t="s">
        <v>523</v>
      </c>
      <c r="C34" s="864"/>
      <c r="D34" s="864"/>
      <c r="E34" s="114"/>
      <c r="F34" s="37"/>
      <c r="G34" s="252">
        <v>1</v>
      </c>
      <c r="H34" s="866" t="s">
        <v>537</v>
      </c>
      <c r="I34" s="866"/>
    </row>
    <row r="35" spans="2:9" x14ac:dyDescent="0.25">
      <c r="B35" s="864" t="s">
        <v>525</v>
      </c>
      <c r="C35" s="864"/>
      <c r="D35" s="864"/>
      <c r="E35" s="114"/>
      <c r="F35" s="37"/>
    </row>
    <row r="36" spans="2:9" x14ac:dyDescent="0.25">
      <c r="B36" s="864" t="s">
        <v>526</v>
      </c>
      <c r="C36" s="864"/>
      <c r="D36" s="864"/>
      <c r="E36" s="114"/>
      <c r="F36" s="37"/>
    </row>
    <row r="37" spans="2:9" x14ac:dyDescent="0.25">
      <c r="B37" s="864" t="s">
        <v>527</v>
      </c>
      <c r="C37" s="864"/>
      <c r="D37" s="864"/>
      <c r="E37" s="114"/>
      <c r="F37" s="37"/>
    </row>
    <row r="38" spans="2:9" x14ac:dyDescent="0.25">
      <c r="B38" s="864" t="s">
        <v>528</v>
      </c>
      <c r="C38" s="864"/>
      <c r="D38" s="864"/>
      <c r="E38" s="114"/>
      <c r="F38" s="37"/>
    </row>
    <row r="39" spans="2:9" x14ac:dyDescent="0.25">
      <c r="B39" s="864" t="s">
        <v>529</v>
      </c>
      <c r="C39" s="864"/>
      <c r="D39" s="864"/>
      <c r="E39" s="114"/>
      <c r="F39" s="37"/>
      <c r="G39" s="863" t="s">
        <v>541</v>
      </c>
      <c r="H39" s="863"/>
      <c r="I39" s="863"/>
    </row>
    <row r="40" spans="2:9" x14ac:dyDescent="0.25">
      <c r="B40" s="865" t="s">
        <v>395</v>
      </c>
      <c r="C40" s="865"/>
      <c r="D40" s="865"/>
      <c r="E40" s="258">
        <f>SUM(E31:E39)</f>
        <v>0</v>
      </c>
      <c r="F40" s="37"/>
      <c r="G40" s="254" t="s">
        <v>542</v>
      </c>
      <c r="H40" s="257" t="s">
        <v>543</v>
      </c>
      <c r="I40" s="254" t="s">
        <v>544</v>
      </c>
    </row>
    <row r="41" spans="2:9" x14ac:dyDescent="0.25">
      <c r="B41" s="37"/>
      <c r="C41" s="37"/>
      <c r="D41" s="37"/>
      <c r="E41" s="202" t="s">
        <v>576</v>
      </c>
      <c r="F41" s="37"/>
      <c r="G41" s="254" t="s">
        <v>545</v>
      </c>
      <c r="H41" s="254" t="s">
        <v>547</v>
      </c>
      <c r="I41" s="254" t="s">
        <v>546</v>
      </c>
    </row>
    <row r="42" spans="2:9" x14ac:dyDescent="0.25">
      <c r="B42" s="37"/>
      <c r="C42" s="37"/>
      <c r="D42" s="37"/>
      <c r="E42" s="37"/>
      <c r="F42" s="37"/>
    </row>
    <row r="43" spans="2:9" x14ac:dyDescent="0.25">
      <c r="B43" s="860" t="s">
        <v>520</v>
      </c>
      <c r="C43" s="861"/>
      <c r="D43" s="862"/>
      <c r="E43" s="251">
        <v>1</v>
      </c>
      <c r="F43" s="37"/>
      <c r="G43" s="254">
        <v>1</v>
      </c>
      <c r="H43" s="254" t="s">
        <v>539</v>
      </c>
    </row>
    <row r="44" spans="2:9" x14ac:dyDescent="0.25">
      <c r="B44" s="37"/>
      <c r="C44" s="37"/>
      <c r="D44" s="37"/>
      <c r="E44" s="37"/>
      <c r="F44" s="37"/>
      <c r="G44" s="254">
        <v>0</v>
      </c>
      <c r="H44" s="254" t="s">
        <v>540</v>
      </c>
    </row>
  </sheetData>
  <mergeCells count="47">
    <mergeCell ref="B9:E9"/>
    <mergeCell ref="G6:I6"/>
    <mergeCell ref="B26:E26"/>
    <mergeCell ref="B27:E27"/>
    <mergeCell ref="B21:E21"/>
    <mergeCell ref="B22:E22"/>
    <mergeCell ref="B23:E23"/>
    <mergeCell ref="B24:E24"/>
    <mergeCell ref="B10:E10"/>
    <mergeCell ref="B11:E11"/>
    <mergeCell ref="B12:E12"/>
    <mergeCell ref="B18:E18"/>
    <mergeCell ref="B25:E25"/>
    <mergeCell ref="G24:M24"/>
    <mergeCell ref="G26:M27"/>
    <mergeCell ref="B31:D31"/>
    <mergeCell ref="G31:I31"/>
    <mergeCell ref="B32:D32"/>
    <mergeCell ref="H32:I32"/>
    <mergeCell ref="A2:E2"/>
    <mergeCell ref="C5:D5"/>
    <mergeCell ref="B19:E19"/>
    <mergeCell ref="B13:E13"/>
    <mergeCell ref="B14:E14"/>
    <mergeCell ref="B15:E15"/>
    <mergeCell ref="B16:E16"/>
    <mergeCell ref="B17:E17"/>
    <mergeCell ref="B28:E28"/>
    <mergeCell ref="B20:E20"/>
    <mergeCell ref="B7:E7"/>
    <mergeCell ref="B8:E8"/>
    <mergeCell ref="C4:D4"/>
    <mergeCell ref="B43:D43"/>
    <mergeCell ref="G4:I4"/>
    <mergeCell ref="G5:I5"/>
    <mergeCell ref="G39:I39"/>
    <mergeCell ref="B36:D36"/>
    <mergeCell ref="B37:D37"/>
    <mergeCell ref="B38:D38"/>
    <mergeCell ref="B39:D39"/>
    <mergeCell ref="B40:D40"/>
    <mergeCell ref="B33:D33"/>
    <mergeCell ref="H33:I33"/>
    <mergeCell ref="B34:D34"/>
    <mergeCell ref="H34:I34"/>
    <mergeCell ref="B35:D35"/>
    <mergeCell ref="B30:D30"/>
  </mergeCells>
  <conditionalFormatting sqref="E5">
    <cfRule type="containsText" dxfId="152" priority="1" operator="containsText" text="Terminé">
      <formula>NOT(ISERROR(SEARCH("Terminé",E5)))</formula>
    </cfRule>
    <cfRule type="containsText" dxfId="151" priority="2" operator="containsText" text="En cours">
      <formula>NOT(ISERROR(SEARCH("En cours",E5)))</formula>
    </cfRule>
    <cfRule type="containsText" dxfId="150"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pageSetup paperSize="9" scale="84"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4"/>
  <sheetViews>
    <sheetView topLeftCell="B13" zoomScaleNormal="100" zoomScaleSheetLayoutView="136"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9" width="11.42578125" style="37"/>
    <col min="10" max="13" width="11.42578125" style="37" customWidth="1"/>
    <col min="14" max="16384" width="11.42578125" style="37"/>
  </cols>
  <sheetData>
    <row r="1" spans="1:15" ht="21" x14ac:dyDescent="0.35">
      <c r="A1" s="11" t="s">
        <v>87</v>
      </c>
      <c r="B1" s="11"/>
      <c r="C1" s="11"/>
      <c r="D1" s="11"/>
      <c r="E1" s="11"/>
    </row>
    <row r="2" spans="1:15" ht="26.25" x14ac:dyDescent="0.4">
      <c r="A2" s="856" t="s">
        <v>913</v>
      </c>
      <c r="B2" s="856"/>
      <c r="C2" s="856"/>
      <c r="D2" s="856"/>
      <c r="E2" s="856"/>
    </row>
    <row r="3" spans="1:15" ht="27" thickBot="1" x14ac:dyDescent="0.45">
      <c r="A3" s="107"/>
      <c r="B3" s="107"/>
      <c r="C3" s="107"/>
      <c r="D3" s="107"/>
      <c r="E3" s="107"/>
    </row>
    <row r="4" spans="1:15" ht="15.75" thickBot="1" x14ac:dyDescent="0.3">
      <c r="A4" s="12"/>
      <c r="B4" s="233" t="s">
        <v>469</v>
      </c>
      <c r="C4" s="851" t="s">
        <v>35</v>
      </c>
      <c r="D4" s="852"/>
      <c r="E4" s="175" t="s">
        <v>196</v>
      </c>
      <c r="G4" s="848" t="s">
        <v>914</v>
      </c>
      <c r="H4" s="848"/>
      <c r="I4" s="848"/>
    </row>
    <row r="5" spans="1:15" ht="18.75" customHeight="1" x14ac:dyDescent="0.25">
      <c r="A5" s="381" t="s">
        <v>651</v>
      </c>
      <c r="B5" s="382" t="s">
        <v>786</v>
      </c>
      <c r="C5" s="820" t="s">
        <v>18</v>
      </c>
      <c r="D5" s="820"/>
      <c r="E5" s="232" t="s">
        <v>20</v>
      </c>
      <c r="G5" s="848" t="s">
        <v>915</v>
      </c>
      <c r="H5" s="848"/>
      <c r="I5" s="848"/>
      <c r="J5" s="44"/>
      <c r="K5" s="44"/>
      <c r="L5" s="44"/>
      <c r="M5" s="44"/>
      <c r="N5" s="44"/>
    </row>
    <row r="6" spans="1:15" ht="16.5" thickBot="1" x14ac:dyDescent="0.3">
      <c r="A6" s="379" t="s">
        <v>660</v>
      </c>
      <c r="B6" s="380" t="s">
        <v>784</v>
      </c>
      <c r="C6" s="16"/>
      <c r="D6" s="16"/>
      <c r="E6" s="16"/>
      <c r="G6" s="850" t="s">
        <v>916</v>
      </c>
      <c r="H6" s="850"/>
      <c r="I6" s="850"/>
      <c r="J6" s="44"/>
      <c r="K6" s="44"/>
      <c r="L6" s="44"/>
      <c r="M6" s="44"/>
      <c r="N6" s="44"/>
    </row>
    <row r="7" spans="1:15" ht="24" customHeight="1" thickBot="1" x14ac:dyDescent="0.3">
      <c r="A7" s="207" t="s">
        <v>1</v>
      </c>
      <c r="B7" s="857" t="s">
        <v>93</v>
      </c>
      <c r="C7" s="857"/>
      <c r="D7" s="857"/>
      <c r="E7" s="857"/>
      <c r="F7" s="44"/>
      <c r="G7" s="44"/>
      <c r="H7" s="44"/>
      <c r="I7" s="44"/>
      <c r="J7" s="44"/>
      <c r="K7" s="44"/>
      <c r="L7" s="44"/>
      <c r="M7" s="44"/>
      <c r="N7" s="44"/>
      <c r="O7" s="44"/>
    </row>
    <row r="8" spans="1:15" ht="24" customHeight="1" thickBot="1" x14ac:dyDescent="0.3">
      <c r="A8" s="207" t="s">
        <v>0</v>
      </c>
      <c r="B8" s="857" t="s">
        <v>209</v>
      </c>
      <c r="C8" s="857"/>
      <c r="D8" s="857"/>
      <c r="E8" s="857"/>
      <c r="F8" s="44"/>
      <c r="G8" s="44"/>
      <c r="H8" s="44"/>
      <c r="I8" s="44"/>
      <c r="J8" s="44"/>
      <c r="K8" s="44"/>
      <c r="L8" s="44"/>
      <c r="M8" s="44"/>
      <c r="N8" s="44"/>
      <c r="O8" s="44"/>
    </row>
    <row r="9" spans="1:15" ht="84" customHeight="1" x14ac:dyDescent="0.25">
      <c r="A9" s="214" t="s">
        <v>2</v>
      </c>
      <c r="B9" s="854" t="s">
        <v>726</v>
      </c>
      <c r="C9" s="854"/>
      <c r="D9" s="854"/>
      <c r="E9" s="854"/>
      <c r="F9" s="44"/>
      <c r="G9" s="183" t="s">
        <v>198</v>
      </c>
      <c r="H9" s="189" t="s">
        <v>411</v>
      </c>
      <c r="I9" s="117" t="s">
        <v>199</v>
      </c>
      <c r="J9" s="117" t="s">
        <v>200</v>
      </c>
      <c r="K9" s="116" t="s">
        <v>201</v>
      </c>
      <c r="L9" s="116" t="s">
        <v>204</v>
      </c>
    </row>
    <row r="10" spans="1:15" ht="54" customHeight="1" x14ac:dyDescent="0.25">
      <c r="A10" s="214" t="s">
        <v>31</v>
      </c>
      <c r="B10" s="854" t="s">
        <v>417</v>
      </c>
      <c r="C10" s="854"/>
      <c r="D10" s="854"/>
      <c r="E10" s="854"/>
      <c r="F10" s="44"/>
      <c r="G10" s="186">
        <f>SUM(H14:H17)</f>
        <v>60</v>
      </c>
      <c r="H10" s="190">
        <f>H12*L10*10</f>
        <v>1717.2230428360417</v>
      </c>
      <c r="I10" s="187">
        <v>450</v>
      </c>
      <c r="J10" s="187">
        <v>12</v>
      </c>
      <c r="K10" s="188">
        <v>0.86</v>
      </c>
      <c r="L10" s="188">
        <v>0.1</v>
      </c>
    </row>
    <row r="11" spans="1:15" ht="30" customHeight="1" x14ac:dyDescent="0.25">
      <c r="A11" s="215" t="s">
        <v>16</v>
      </c>
      <c r="B11" s="874" t="s">
        <v>512</v>
      </c>
      <c r="C11" s="874"/>
      <c r="D11" s="874"/>
      <c r="E11" s="874"/>
      <c r="F11" s="44"/>
      <c r="G11" s="44"/>
      <c r="H11" s="121"/>
      <c r="I11" s="44"/>
      <c r="J11" s="44"/>
      <c r="K11" s="44"/>
      <c r="L11" s="44"/>
      <c r="M11" s="44"/>
      <c r="N11" s="44"/>
    </row>
    <row r="12" spans="1:15" ht="30" customHeight="1" x14ac:dyDescent="0.25">
      <c r="A12" s="215" t="s">
        <v>3</v>
      </c>
      <c r="B12" s="874"/>
      <c r="C12" s="874"/>
      <c r="D12" s="874"/>
      <c r="E12" s="874"/>
      <c r="F12" s="44"/>
      <c r="G12" s="44"/>
      <c r="H12" s="122">
        <f>(L15+M15)/K15*100</f>
        <v>1717.2230428360415</v>
      </c>
      <c r="I12" s="44"/>
      <c r="J12" s="44"/>
      <c r="K12" s="44"/>
      <c r="L12" s="44"/>
      <c r="M12" s="44"/>
      <c r="N12" s="44"/>
    </row>
    <row r="13" spans="1:15" ht="30" customHeight="1" x14ac:dyDescent="0.25">
      <c r="A13" s="215" t="s">
        <v>17</v>
      </c>
      <c r="B13" s="874"/>
      <c r="C13" s="874"/>
      <c r="D13" s="874"/>
      <c r="E13" s="874"/>
      <c r="F13" s="44"/>
      <c r="G13" s="44"/>
      <c r="H13" s="44"/>
      <c r="I13" s="44"/>
      <c r="J13" s="44"/>
      <c r="K13" s="44"/>
      <c r="L13" s="44"/>
      <c r="M13" s="44"/>
      <c r="N13" s="44"/>
    </row>
    <row r="14" spans="1:15" ht="30" customHeight="1" x14ac:dyDescent="0.25">
      <c r="A14" s="215" t="s">
        <v>4</v>
      </c>
      <c r="B14" s="874">
        <v>2015</v>
      </c>
      <c r="C14" s="874"/>
      <c r="D14" s="874"/>
      <c r="E14" s="874"/>
      <c r="F14" s="44"/>
      <c r="G14" s="123" t="s">
        <v>205</v>
      </c>
      <c r="H14" s="123">
        <v>0</v>
      </c>
      <c r="I14" s="117" t="s">
        <v>202</v>
      </c>
      <c r="J14" s="117" t="s">
        <v>189</v>
      </c>
      <c r="K14" s="117" t="s">
        <v>203</v>
      </c>
      <c r="L14" s="117" t="s">
        <v>412</v>
      </c>
      <c r="M14" s="117" t="s">
        <v>413</v>
      </c>
      <c r="N14" s="44"/>
    </row>
    <row r="15" spans="1:15" ht="30" customHeight="1" x14ac:dyDescent="0.25">
      <c r="A15" s="215" t="s">
        <v>5</v>
      </c>
      <c r="B15" s="874">
        <v>2020</v>
      </c>
      <c r="C15" s="874"/>
      <c r="D15" s="874"/>
      <c r="E15" s="874"/>
      <c r="F15" s="44"/>
      <c r="G15" s="123" t="s">
        <v>206</v>
      </c>
      <c r="H15" s="123">
        <v>0</v>
      </c>
      <c r="I15" s="187">
        <v>0.26100000000000001</v>
      </c>
      <c r="J15" s="191">
        <f>J21</f>
        <v>0.23631551059730252</v>
      </c>
      <c r="K15" s="187">
        <v>3385</v>
      </c>
      <c r="L15" s="187">
        <v>50372</v>
      </c>
      <c r="M15" s="192">
        <v>7756</v>
      </c>
      <c r="N15" s="44"/>
    </row>
    <row r="16" spans="1:15" ht="30" customHeight="1" x14ac:dyDescent="0.25">
      <c r="A16" s="215" t="s">
        <v>6</v>
      </c>
      <c r="B16" s="859">
        <f>G10*I10*J10</f>
        <v>324000</v>
      </c>
      <c r="C16" s="859"/>
      <c r="D16" s="859"/>
      <c r="E16" s="859"/>
      <c r="F16" s="44"/>
      <c r="G16" s="123" t="s">
        <v>207</v>
      </c>
      <c r="H16" s="123">
        <v>60</v>
      </c>
      <c r="K16" s="44"/>
      <c r="L16" s="44"/>
      <c r="M16" s="44"/>
      <c r="N16" s="44"/>
    </row>
    <row r="17" spans="1:14" ht="30" customHeight="1" x14ac:dyDescent="0.25">
      <c r="A17" s="215" t="s">
        <v>7</v>
      </c>
      <c r="B17" s="859">
        <f>G10*J10*15</f>
        <v>10800</v>
      </c>
      <c r="C17" s="859"/>
      <c r="D17" s="859"/>
      <c r="E17" s="859"/>
      <c r="F17" s="44"/>
      <c r="G17" s="123" t="s">
        <v>407</v>
      </c>
      <c r="H17" s="123">
        <v>0</v>
      </c>
      <c r="K17" s="44"/>
      <c r="L17" s="44"/>
      <c r="M17" s="44"/>
      <c r="N17" s="44"/>
    </row>
    <row r="18" spans="1:14" ht="30" customHeight="1" x14ac:dyDescent="0.25">
      <c r="A18" s="210" t="s">
        <v>468</v>
      </c>
      <c r="B18" s="868">
        <f>G10*H10</f>
        <v>103033.3825701625</v>
      </c>
      <c r="C18" s="869"/>
      <c r="D18" s="869"/>
      <c r="E18" s="869"/>
      <c r="F18" s="44"/>
      <c r="G18" s="44"/>
      <c r="H18" s="47"/>
      <c r="I18" s="44"/>
      <c r="J18" s="44"/>
      <c r="K18" s="44"/>
      <c r="L18" s="44"/>
      <c r="M18" s="44"/>
      <c r="N18" s="44"/>
    </row>
    <row r="19" spans="1:14" ht="30" customHeight="1" x14ac:dyDescent="0.25">
      <c r="A19" s="238" t="s">
        <v>467</v>
      </c>
      <c r="B19" s="870"/>
      <c r="C19" s="871"/>
      <c r="D19" s="871"/>
      <c r="E19" s="871"/>
      <c r="F19" s="44"/>
      <c r="G19" s="44"/>
      <c r="H19" s="47"/>
      <c r="I19" s="193">
        <f>L15</f>
        <v>50372</v>
      </c>
      <c r="J19" s="193">
        <v>0.26100000000000001</v>
      </c>
      <c r="K19" s="193"/>
      <c r="L19" s="44"/>
      <c r="M19" s="44"/>
      <c r="N19" s="44"/>
    </row>
    <row r="20" spans="1:14" ht="30" customHeight="1" x14ac:dyDescent="0.25">
      <c r="A20" s="215" t="s">
        <v>8</v>
      </c>
      <c r="B20" s="845">
        <f>(B18*K10/10)</f>
        <v>8860.8709010339753</v>
      </c>
      <c r="C20" s="845"/>
      <c r="D20" s="845"/>
      <c r="E20" s="845"/>
      <c r="F20" s="44"/>
      <c r="G20" s="44"/>
      <c r="H20" s="44"/>
      <c r="I20" s="193">
        <f>M15</f>
        <v>7756</v>
      </c>
      <c r="J20" s="193">
        <v>7.5999999999999998E-2</v>
      </c>
      <c r="K20" s="193"/>
      <c r="L20" s="44"/>
      <c r="M20" s="44"/>
      <c r="N20" s="44"/>
    </row>
    <row r="21" spans="1:14" ht="30" customHeight="1" x14ac:dyDescent="0.25">
      <c r="A21" s="215" t="s">
        <v>9</v>
      </c>
      <c r="B21" s="845"/>
      <c r="C21" s="845"/>
      <c r="D21" s="845"/>
      <c r="E21" s="845"/>
      <c r="F21" s="44"/>
      <c r="G21" s="44"/>
      <c r="H21" s="44"/>
      <c r="I21" s="193">
        <f>I19+I20</f>
        <v>58128</v>
      </c>
      <c r="J21" s="194">
        <f>K21/I21</f>
        <v>0.23631551059730252</v>
      </c>
      <c r="K21" s="193">
        <f>(I19*J19)+(I20*J20)</f>
        <v>13736.548000000001</v>
      </c>
      <c r="L21" s="44"/>
      <c r="M21" s="44"/>
      <c r="N21" s="44"/>
    </row>
    <row r="22" spans="1:14" ht="30" customHeight="1" x14ac:dyDescent="0.25">
      <c r="A22" s="215" t="s">
        <v>465</v>
      </c>
      <c r="B22" s="846">
        <f>B16/(B20+B21)</f>
        <v>36.565254546502018</v>
      </c>
      <c r="C22" s="846"/>
      <c r="D22" s="846"/>
      <c r="E22" s="846"/>
      <c r="F22" s="44"/>
      <c r="G22" s="44"/>
      <c r="H22" s="44"/>
      <c r="I22" s="44"/>
      <c r="J22" s="44"/>
      <c r="K22" s="44"/>
      <c r="L22" s="44"/>
      <c r="M22" s="44"/>
      <c r="N22" s="44"/>
    </row>
    <row r="23" spans="1:14" ht="30" customHeight="1" x14ac:dyDescent="0.25">
      <c r="A23" s="215" t="s">
        <v>466</v>
      </c>
      <c r="B23" s="847">
        <f>(B16-B17)/(B20+B21)</f>
        <v>35.346412728285287</v>
      </c>
      <c r="C23" s="847"/>
      <c r="D23" s="847"/>
      <c r="E23" s="847"/>
      <c r="F23" s="44"/>
      <c r="G23" s="44"/>
      <c r="H23" s="44"/>
      <c r="I23" s="44"/>
      <c r="J23" s="44"/>
      <c r="K23" s="44"/>
      <c r="L23" s="44"/>
      <c r="M23" s="44"/>
      <c r="N23" s="44"/>
    </row>
    <row r="24" spans="1:14" ht="30" customHeight="1" x14ac:dyDescent="0.25">
      <c r="A24" s="216" t="s">
        <v>476</v>
      </c>
      <c r="B24" s="849">
        <f>B18*J15/1000</f>
        <v>24.348386410635161</v>
      </c>
      <c r="C24" s="849"/>
      <c r="D24" s="849"/>
      <c r="E24" s="849"/>
      <c r="F24" s="44"/>
      <c r="G24" s="44"/>
      <c r="H24" s="44"/>
      <c r="I24" s="44"/>
      <c r="J24" s="44"/>
      <c r="K24" s="44"/>
      <c r="L24" s="44"/>
      <c r="M24" s="44"/>
      <c r="N24" s="44"/>
    </row>
    <row r="25" spans="1:14" ht="30" customHeight="1" x14ac:dyDescent="0.25">
      <c r="A25" s="217" t="s">
        <v>463</v>
      </c>
      <c r="B25" s="881">
        <f>B24/'Objectifs CO2'!C12</f>
        <v>7.0565067394853399E-3</v>
      </c>
      <c r="C25" s="881"/>
      <c r="D25" s="881"/>
      <c r="E25" s="881"/>
      <c r="F25" s="44"/>
      <c r="G25" s="44"/>
      <c r="H25" s="44"/>
      <c r="I25" s="44"/>
      <c r="J25" s="44"/>
      <c r="K25" s="44"/>
      <c r="L25" s="44"/>
      <c r="M25" s="44"/>
      <c r="N25" s="44"/>
    </row>
    <row r="26" spans="1:14" ht="30" customHeight="1" x14ac:dyDescent="0.25">
      <c r="A26" s="218" t="s">
        <v>464</v>
      </c>
      <c r="B26" s="881">
        <f>B24/'Objectifs CO2'!C8</f>
        <v>3.5282533697426699E-3</v>
      </c>
      <c r="C26" s="881"/>
      <c r="D26" s="881"/>
      <c r="E26" s="881"/>
      <c r="F26" s="44"/>
      <c r="G26" s="44"/>
      <c r="H26" s="44"/>
      <c r="I26" s="44"/>
      <c r="J26" s="44"/>
      <c r="K26" s="44"/>
      <c r="L26" s="44"/>
      <c r="M26" s="44"/>
      <c r="N26" s="44"/>
    </row>
    <row r="27" spans="1:14" ht="30" customHeight="1" x14ac:dyDescent="0.25">
      <c r="A27" s="218" t="s">
        <v>24</v>
      </c>
      <c r="B27" s="853"/>
      <c r="C27" s="853"/>
      <c r="D27" s="853"/>
      <c r="E27" s="853"/>
      <c r="F27" s="44"/>
      <c r="G27" s="44"/>
      <c r="H27" s="44"/>
      <c r="I27" s="44"/>
      <c r="J27" s="44"/>
      <c r="K27" s="44"/>
      <c r="L27" s="44"/>
      <c r="M27" s="44"/>
      <c r="N27" s="44"/>
    </row>
    <row r="28" spans="1:14" ht="30" customHeight="1" x14ac:dyDescent="0.25">
      <c r="A28" s="213" t="s">
        <v>418</v>
      </c>
      <c r="B28" s="853" t="s">
        <v>833</v>
      </c>
      <c r="C28" s="853"/>
      <c r="D28" s="853"/>
      <c r="E28" s="853"/>
      <c r="F28" s="37" t="s">
        <v>427</v>
      </c>
    </row>
    <row r="30" spans="1:14" x14ac:dyDescent="0.25">
      <c r="B30" s="867" t="s">
        <v>530</v>
      </c>
      <c r="C30" s="867"/>
      <c r="D30" s="867"/>
      <c r="E30" s="143" t="s">
        <v>538</v>
      </c>
    </row>
    <row r="31" spans="1:14" x14ac:dyDescent="0.25">
      <c r="B31" s="864" t="s">
        <v>521</v>
      </c>
      <c r="C31" s="864"/>
      <c r="D31" s="864"/>
      <c r="E31" s="114"/>
      <c r="G31" s="866" t="s">
        <v>538</v>
      </c>
      <c r="H31" s="866"/>
      <c r="I31" s="866"/>
    </row>
    <row r="32" spans="1:14" x14ac:dyDescent="0.25">
      <c r="B32" s="864" t="s">
        <v>522</v>
      </c>
      <c r="C32" s="864"/>
      <c r="D32" s="864"/>
      <c r="E32" s="114"/>
      <c r="G32" s="252">
        <v>3</v>
      </c>
      <c r="H32" s="866" t="s">
        <v>535</v>
      </c>
      <c r="I32" s="866"/>
    </row>
    <row r="33" spans="2:9" x14ac:dyDescent="0.25">
      <c r="B33" s="864" t="s">
        <v>524</v>
      </c>
      <c r="C33" s="864"/>
      <c r="D33" s="864"/>
      <c r="E33" s="114"/>
      <c r="G33" s="252">
        <v>2</v>
      </c>
      <c r="H33" s="866" t="s">
        <v>536</v>
      </c>
      <c r="I33" s="866"/>
    </row>
    <row r="34" spans="2:9" x14ac:dyDescent="0.25">
      <c r="B34" s="864" t="s">
        <v>523</v>
      </c>
      <c r="C34" s="864"/>
      <c r="D34" s="864"/>
      <c r="E34" s="114"/>
      <c r="G34" s="252">
        <v>1</v>
      </c>
      <c r="H34" s="866" t="s">
        <v>537</v>
      </c>
      <c r="I34" s="866"/>
    </row>
    <row r="35" spans="2:9" x14ac:dyDescent="0.25">
      <c r="B35" s="864" t="s">
        <v>525</v>
      </c>
      <c r="C35" s="864"/>
      <c r="D35" s="864"/>
      <c r="E35" s="114"/>
    </row>
    <row r="36" spans="2:9" x14ac:dyDescent="0.25">
      <c r="B36" s="864" t="s">
        <v>526</v>
      </c>
      <c r="C36" s="864"/>
      <c r="D36" s="864"/>
      <c r="E36" s="114"/>
    </row>
    <row r="37" spans="2:9" x14ac:dyDescent="0.25">
      <c r="B37" s="864" t="s">
        <v>527</v>
      </c>
      <c r="C37" s="864"/>
      <c r="D37" s="864"/>
      <c r="E37" s="114"/>
    </row>
    <row r="38" spans="2:9" x14ac:dyDescent="0.25">
      <c r="B38" s="864" t="s">
        <v>528</v>
      </c>
      <c r="C38" s="864"/>
      <c r="D38" s="864"/>
      <c r="E38" s="114"/>
    </row>
    <row r="39" spans="2:9" x14ac:dyDescent="0.25">
      <c r="B39" s="864" t="s">
        <v>529</v>
      </c>
      <c r="C39" s="864"/>
      <c r="D39" s="864"/>
      <c r="E39" s="114"/>
      <c r="G39" s="863" t="s">
        <v>541</v>
      </c>
      <c r="H39" s="863"/>
      <c r="I39" s="863"/>
    </row>
    <row r="40" spans="2:9" x14ac:dyDescent="0.25">
      <c r="B40" s="865" t="s">
        <v>395</v>
      </c>
      <c r="C40" s="865"/>
      <c r="D40" s="865"/>
      <c r="E40" s="258">
        <f>SUM(E31:E39)</f>
        <v>0</v>
      </c>
      <c r="G40" s="254" t="s">
        <v>542</v>
      </c>
      <c r="H40" s="257" t="s">
        <v>543</v>
      </c>
      <c r="I40" s="254" t="s">
        <v>544</v>
      </c>
    </row>
    <row r="41" spans="2:9" x14ac:dyDescent="0.25">
      <c r="E41" s="202" t="s">
        <v>576</v>
      </c>
      <c r="G41" s="254" t="s">
        <v>545</v>
      </c>
      <c r="H41" s="254" t="s">
        <v>547</v>
      </c>
      <c r="I41" s="254" t="s">
        <v>546</v>
      </c>
    </row>
    <row r="43" spans="2:9" x14ac:dyDescent="0.25">
      <c r="B43" s="860" t="s">
        <v>520</v>
      </c>
      <c r="C43" s="861"/>
      <c r="D43" s="862"/>
      <c r="E43" s="251">
        <v>1</v>
      </c>
      <c r="G43" s="254">
        <v>1</v>
      </c>
      <c r="H43" s="254" t="s">
        <v>539</v>
      </c>
    </row>
    <row r="44" spans="2:9" x14ac:dyDescent="0.25">
      <c r="G44" s="254">
        <v>0</v>
      </c>
      <c r="H44" s="254" t="s">
        <v>540</v>
      </c>
    </row>
  </sheetData>
  <mergeCells count="45">
    <mergeCell ref="G6:I6"/>
    <mergeCell ref="B19:E19"/>
    <mergeCell ref="B9:E9"/>
    <mergeCell ref="A2:E2"/>
    <mergeCell ref="C5:D5"/>
    <mergeCell ref="B7:E7"/>
    <mergeCell ref="B8:E8"/>
    <mergeCell ref="B10:E10"/>
    <mergeCell ref="B11:E11"/>
    <mergeCell ref="B12:E12"/>
    <mergeCell ref="B13:E13"/>
    <mergeCell ref="B14:E14"/>
    <mergeCell ref="C4:D4"/>
    <mergeCell ref="G31:I31"/>
    <mergeCell ref="B32:D32"/>
    <mergeCell ref="H32:I32"/>
    <mergeCell ref="B15:E15"/>
    <mergeCell ref="B16:E16"/>
    <mergeCell ref="B17:E17"/>
    <mergeCell ref="B28:E28"/>
    <mergeCell ref="B25:E25"/>
    <mergeCell ref="B26:E26"/>
    <mergeCell ref="B27:E27"/>
    <mergeCell ref="B18:E18"/>
    <mergeCell ref="B20:E20"/>
    <mergeCell ref="B21:E21"/>
    <mergeCell ref="B23:E23"/>
    <mergeCell ref="B24:E24"/>
    <mergeCell ref="B22:E22"/>
    <mergeCell ref="B43:D43"/>
    <mergeCell ref="G4:I4"/>
    <mergeCell ref="G5:I5"/>
    <mergeCell ref="G39:I39"/>
    <mergeCell ref="B36:D36"/>
    <mergeCell ref="B37:D37"/>
    <mergeCell ref="B38:D38"/>
    <mergeCell ref="B39:D39"/>
    <mergeCell ref="B40:D40"/>
    <mergeCell ref="B33:D33"/>
    <mergeCell ref="H33:I33"/>
    <mergeCell ref="B34:D34"/>
    <mergeCell ref="H34:I34"/>
    <mergeCell ref="B35:D35"/>
    <mergeCell ref="B30:D30"/>
    <mergeCell ref="B31:D31"/>
  </mergeCells>
  <conditionalFormatting sqref="E5">
    <cfRule type="containsText" dxfId="149" priority="1" operator="containsText" text="Terminé">
      <formula>NOT(ISERROR(SEARCH("Terminé",E5)))</formula>
    </cfRule>
    <cfRule type="containsText" dxfId="148" priority="2" operator="containsText" text="En cours">
      <formula>NOT(ISERROR(SEARCH("En cours",E5)))</formula>
    </cfRule>
    <cfRule type="containsText" dxfId="147"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pageSetup paperSize="9" scale="9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4"/>
  <sheetViews>
    <sheetView topLeftCell="B4" zoomScaleNormal="100" zoomScaleSheetLayoutView="220"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9" width="11.42578125" style="37"/>
    <col min="10" max="13" width="11.42578125" style="37" customWidth="1"/>
    <col min="14" max="16384" width="11.42578125" style="37"/>
  </cols>
  <sheetData>
    <row r="1" spans="1:15" ht="21" x14ac:dyDescent="0.35">
      <c r="A1" s="11" t="s">
        <v>87</v>
      </c>
      <c r="B1" s="11"/>
      <c r="C1" s="11"/>
      <c r="D1" s="11"/>
      <c r="E1" s="11"/>
    </row>
    <row r="2" spans="1:15" ht="26.25" x14ac:dyDescent="0.4">
      <c r="A2" s="856" t="s">
        <v>913</v>
      </c>
      <c r="B2" s="856"/>
      <c r="C2" s="856"/>
      <c r="D2" s="856"/>
      <c r="E2" s="856"/>
    </row>
    <row r="3" spans="1:15" ht="27" thickBot="1" x14ac:dyDescent="0.45">
      <c r="A3" s="358"/>
      <c r="B3" s="358"/>
      <c r="C3" s="358"/>
      <c r="D3" s="358"/>
      <c r="E3" s="358"/>
    </row>
    <row r="4" spans="1:15" ht="15.75" thickBot="1" x14ac:dyDescent="0.3">
      <c r="A4" s="12"/>
      <c r="B4" s="233" t="s">
        <v>469</v>
      </c>
      <c r="C4" s="851" t="s">
        <v>35</v>
      </c>
      <c r="D4" s="852"/>
      <c r="E4" s="175" t="s">
        <v>700</v>
      </c>
      <c r="G4" s="848" t="s">
        <v>914</v>
      </c>
      <c r="H4" s="848"/>
      <c r="I4" s="848"/>
    </row>
    <row r="5" spans="1:15" ht="18.75" customHeight="1" x14ac:dyDescent="0.25">
      <c r="A5" s="381" t="s">
        <v>651</v>
      </c>
      <c r="B5" s="382" t="s">
        <v>786</v>
      </c>
      <c r="C5" s="820" t="s">
        <v>18</v>
      </c>
      <c r="D5" s="820"/>
      <c r="E5" s="232" t="s">
        <v>20</v>
      </c>
      <c r="G5" s="848" t="s">
        <v>915</v>
      </c>
      <c r="H5" s="848"/>
      <c r="I5" s="848"/>
      <c r="J5" s="44"/>
      <c r="K5" s="44"/>
      <c r="L5" s="44"/>
      <c r="M5" s="44"/>
      <c r="N5" s="44"/>
    </row>
    <row r="6" spans="1:15" ht="16.5" thickBot="1" x14ac:dyDescent="0.3">
      <c r="A6" s="379" t="s">
        <v>660</v>
      </c>
      <c r="B6" s="380" t="s">
        <v>784</v>
      </c>
      <c r="C6" s="16"/>
      <c r="D6" s="16"/>
      <c r="E6" s="16"/>
      <c r="G6" s="850" t="s">
        <v>916</v>
      </c>
      <c r="H6" s="850"/>
      <c r="I6" s="850"/>
      <c r="J6" s="44"/>
      <c r="K6" s="44"/>
      <c r="L6" s="44"/>
      <c r="M6" s="44"/>
      <c r="N6" s="44"/>
    </row>
    <row r="7" spans="1:15" ht="24" customHeight="1" thickBot="1" x14ac:dyDescent="0.3">
      <c r="A7" s="207" t="s">
        <v>1</v>
      </c>
      <c r="B7" s="857" t="s">
        <v>93</v>
      </c>
      <c r="C7" s="857"/>
      <c r="D7" s="857"/>
      <c r="E7" s="857"/>
      <c r="F7" s="44"/>
      <c r="G7" s="44"/>
      <c r="H7" s="44"/>
      <c r="I7" s="44"/>
      <c r="J7" s="44"/>
      <c r="K7" s="44"/>
      <c r="L7" s="44"/>
      <c r="M7" s="44"/>
      <c r="N7" s="44"/>
      <c r="O7" s="44"/>
    </row>
    <row r="8" spans="1:15" ht="24" customHeight="1" thickBot="1" x14ac:dyDescent="0.3">
      <c r="A8" s="207" t="s">
        <v>0</v>
      </c>
      <c r="B8" s="857" t="s">
        <v>701</v>
      </c>
      <c r="C8" s="857"/>
      <c r="D8" s="857"/>
      <c r="E8" s="857"/>
      <c r="F8" s="44"/>
      <c r="G8" s="44"/>
      <c r="H8" s="44"/>
      <c r="I8" s="44"/>
      <c r="J8" s="44"/>
      <c r="K8" s="44"/>
      <c r="L8" s="44"/>
      <c r="M8" s="44"/>
      <c r="N8" s="44"/>
      <c r="O8" s="44"/>
    </row>
    <row r="9" spans="1:15" ht="91.5" customHeight="1" x14ac:dyDescent="0.25">
      <c r="A9" s="214" t="s">
        <v>2</v>
      </c>
      <c r="B9" s="854" t="s">
        <v>703</v>
      </c>
      <c r="C9" s="854"/>
      <c r="D9" s="854"/>
      <c r="E9" s="854"/>
      <c r="F9" s="44"/>
      <c r="G9" s="183" t="s">
        <v>198</v>
      </c>
      <c r="H9" s="189" t="s">
        <v>411</v>
      </c>
      <c r="I9" s="117" t="s">
        <v>199</v>
      </c>
      <c r="J9" s="117" t="s">
        <v>200</v>
      </c>
      <c r="K9" s="116" t="s">
        <v>201</v>
      </c>
      <c r="L9" s="116" t="s">
        <v>204</v>
      </c>
    </row>
    <row r="10" spans="1:15" ht="54" customHeight="1" x14ac:dyDescent="0.25">
      <c r="A10" s="214" t="s">
        <v>31</v>
      </c>
      <c r="B10" s="854" t="s">
        <v>748</v>
      </c>
      <c r="C10" s="854"/>
      <c r="D10" s="854"/>
      <c r="E10" s="854"/>
      <c r="F10" s="44"/>
      <c r="G10" s="359">
        <f>H18</f>
        <v>50</v>
      </c>
      <c r="H10" s="190">
        <f>H12*L10*10</f>
        <v>12020.56129985229</v>
      </c>
      <c r="I10" s="360">
        <v>85</v>
      </c>
      <c r="J10" s="360">
        <v>362</v>
      </c>
      <c r="K10" s="361">
        <v>0.86</v>
      </c>
      <c r="L10" s="361">
        <v>0.7</v>
      </c>
    </row>
    <row r="11" spans="1:15" ht="30" customHeight="1" x14ac:dyDescent="0.25">
      <c r="A11" s="215" t="s">
        <v>16</v>
      </c>
      <c r="B11" s="874" t="s">
        <v>512</v>
      </c>
      <c r="C11" s="874"/>
      <c r="D11" s="874"/>
      <c r="E11" s="874"/>
      <c r="F11" s="44"/>
      <c r="G11" s="44"/>
      <c r="H11" s="121"/>
      <c r="I11" s="44"/>
      <c r="J11" s="44"/>
      <c r="K11" s="44"/>
      <c r="L11" s="44"/>
      <c r="M11" s="44"/>
      <c r="N11" s="44"/>
    </row>
    <row r="12" spans="1:15" ht="30" customHeight="1" x14ac:dyDescent="0.25">
      <c r="A12" s="215" t="s">
        <v>3</v>
      </c>
      <c r="B12" s="874"/>
      <c r="C12" s="874"/>
      <c r="D12" s="874"/>
      <c r="E12" s="874"/>
      <c r="F12" s="44"/>
      <c r="G12" s="44"/>
      <c r="H12" s="122">
        <f>(L15+M15)/K15*100</f>
        <v>1717.2230428360415</v>
      </c>
      <c r="I12" s="44"/>
      <c r="J12" s="44"/>
      <c r="K12" s="44"/>
      <c r="L12" s="44"/>
      <c r="M12" s="44"/>
      <c r="N12" s="44"/>
    </row>
    <row r="13" spans="1:15" ht="30" customHeight="1" x14ac:dyDescent="0.25">
      <c r="A13" s="215" t="s">
        <v>17</v>
      </c>
      <c r="B13" s="874"/>
      <c r="C13" s="874"/>
      <c r="D13" s="874"/>
      <c r="E13" s="874"/>
      <c r="F13" s="44"/>
      <c r="G13" s="44"/>
      <c r="H13" s="44"/>
      <c r="I13" s="44"/>
      <c r="J13" s="44"/>
      <c r="K13" s="44"/>
      <c r="L13" s="44"/>
      <c r="M13" s="44"/>
      <c r="N13" s="44"/>
    </row>
    <row r="14" spans="1:15" ht="30" customHeight="1" x14ac:dyDescent="0.25">
      <c r="A14" s="215" t="s">
        <v>4</v>
      </c>
      <c r="B14" s="874">
        <v>2015</v>
      </c>
      <c r="C14" s="874"/>
      <c r="D14" s="874"/>
      <c r="E14" s="874"/>
      <c r="F14" s="44"/>
      <c r="G14" s="123" t="s">
        <v>205</v>
      </c>
      <c r="H14" s="123">
        <v>0</v>
      </c>
      <c r="I14" s="117" t="s">
        <v>202</v>
      </c>
      <c r="J14" s="117" t="s">
        <v>189</v>
      </c>
      <c r="K14" s="117" t="s">
        <v>203</v>
      </c>
      <c r="L14" s="117" t="s">
        <v>412</v>
      </c>
      <c r="M14" s="117" t="s">
        <v>413</v>
      </c>
      <c r="N14" s="44"/>
    </row>
    <row r="15" spans="1:15" ht="30" customHeight="1" x14ac:dyDescent="0.25">
      <c r="A15" s="215" t="s">
        <v>5</v>
      </c>
      <c r="B15" s="874">
        <v>2020</v>
      </c>
      <c r="C15" s="874"/>
      <c r="D15" s="874"/>
      <c r="E15" s="874"/>
      <c r="F15" s="44"/>
      <c r="G15" s="123" t="s">
        <v>206</v>
      </c>
      <c r="H15" s="123">
        <v>0</v>
      </c>
      <c r="I15" s="360">
        <v>0.26100000000000001</v>
      </c>
      <c r="J15" s="191">
        <f>J21</f>
        <v>0.23631551059730252</v>
      </c>
      <c r="K15" s="360">
        <v>3385</v>
      </c>
      <c r="L15" s="360">
        <v>50372</v>
      </c>
      <c r="M15" s="192">
        <v>7756</v>
      </c>
      <c r="N15" s="44"/>
    </row>
    <row r="16" spans="1:15" ht="30" customHeight="1" x14ac:dyDescent="0.25">
      <c r="A16" s="215" t="s">
        <v>6</v>
      </c>
      <c r="B16" s="859">
        <f>G10*I10*J10</f>
        <v>1538500</v>
      </c>
      <c r="C16" s="859"/>
      <c r="D16" s="859"/>
      <c r="E16" s="859"/>
      <c r="F16" s="44"/>
      <c r="G16" s="123" t="s">
        <v>207</v>
      </c>
      <c r="H16" s="123">
        <v>0</v>
      </c>
      <c r="K16" s="44"/>
      <c r="L16" s="44"/>
      <c r="M16" s="44"/>
      <c r="N16" s="44"/>
    </row>
    <row r="17" spans="1:14" ht="30" customHeight="1" x14ac:dyDescent="0.25">
      <c r="A17" s="215" t="s">
        <v>7</v>
      </c>
      <c r="B17" s="859">
        <f>G10*J10*15</f>
        <v>271500</v>
      </c>
      <c r="C17" s="859"/>
      <c r="D17" s="859"/>
      <c r="E17" s="859"/>
      <c r="F17" s="44"/>
      <c r="G17" s="123" t="s">
        <v>407</v>
      </c>
      <c r="H17" s="123">
        <v>0</v>
      </c>
      <c r="K17" s="44"/>
      <c r="L17" s="44"/>
      <c r="M17" s="44"/>
      <c r="N17" s="44"/>
    </row>
    <row r="18" spans="1:14" ht="30" customHeight="1" x14ac:dyDescent="0.25">
      <c r="A18" s="210" t="s">
        <v>468</v>
      </c>
      <c r="B18" s="868">
        <f>G10*H10</f>
        <v>601028.06499261456</v>
      </c>
      <c r="C18" s="869"/>
      <c r="D18" s="869"/>
      <c r="E18" s="869"/>
      <c r="F18" s="44"/>
      <c r="G18" s="366" t="s">
        <v>702</v>
      </c>
      <c r="H18" s="366">
        <v>50</v>
      </c>
      <c r="I18" s="44"/>
      <c r="J18" s="44"/>
      <c r="K18" s="44"/>
      <c r="L18" s="44"/>
      <c r="M18" s="44"/>
      <c r="N18" s="44"/>
    </row>
    <row r="19" spans="1:14" ht="30" customHeight="1" x14ac:dyDescent="0.25">
      <c r="A19" s="238" t="s">
        <v>467</v>
      </c>
      <c r="B19" s="870"/>
      <c r="C19" s="871"/>
      <c r="D19" s="871"/>
      <c r="E19" s="871"/>
      <c r="F19" s="44"/>
      <c r="G19" s="44"/>
      <c r="H19" s="47"/>
      <c r="I19" s="193">
        <f>L15</f>
        <v>50372</v>
      </c>
      <c r="J19" s="193">
        <v>0.26100000000000001</v>
      </c>
      <c r="K19" s="193"/>
      <c r="L19" s="44"/>
      <c r="M19" s="44"/>
      <c r="N19" s="44"/>
    </row>
    <row r="20" spans="1:14" ht="30" customHeight="1" x14ac:dyDescent="0.25">
      <c r="A20" s="215" t="s">
        <v>8</v>
      </c>
      <c r="B20" s="845">
        <f>(B18*K10/10)</f>
        <v>51688.413589364849</v>
      </c>
      <c r="C20" s="845"/>
      <c r="D20" s="845"/>
      <c r="E20" s="845"/>
      <c r="F20" s="44"/>
      <c r="G20" s="44"/>
      <c r="H20" s="44"/>
      <c r="I20" s="193">
        <f>M15</f>
        <v>7756</v>
      </c>
      <c r="J20" s="193">
        <v>7.5999999999999998E-2</v>
      </c>
      <c r="K20" s="193"/>
      <c r="L20" s="44"/>
      <c r="M20" s="44"/>
      <c r="N20" s="44"/>
    </row>
    <row r="21" spans="1:14" ht="30" customHeight="1" x14ac:dyDescent="0.25">
      <c r="A21" s="215" t="s">
        <v>9</v>
      </c>
      <c r="B21" s="845"/>
      <c r="C21" s="845"/>
      <c r="D21" s="845"/>
      <c r="E21" s="845"/>
      <c r="F21" s="44"/>
      <c r="G21" s="44"/>
      <c r="H21" s="44"/>
      <c r="I21" s="193">
        <f>I19+I20</f>
        <v>58128</v>
      </c>
      <c r="J21" s="194">
        <f>K21/I21</f>
        <v>0.23631551059730252</v>
      </c>
      <c r="K21" s="193">
        <f>(I19*J19)+(I20*J20)</f>
        <v>13736.548000000001</v>
      </c>
      <c r="L21" s="44"/>
      <c r="M21" s="44"/>
      <c r="N21" s="44"/>
    </row>
    <row r="22" spans="1:14" ht="30" customHeight="1" x14ac:dyDescent="0.25">
      <c r="A22" s="215" t="s">
        <v>465</v>
      </c>
      <c r="B22" s="846">
        <f>B16/(B20+B21)</f>
        <v>29.764891068673737</v>
      </c>
      <c r="C22" s="846"/>
      <c r="D22" s="846"/>
      <c r="E22" s="846"/>
      <c r="F22" s="44"/>
      <c r="G22" s="44"/>
      <c r="H22" s="44"/>
      <c r="I22" s="44"/>
      <c r="J22" s="44"/>
      <c r="K22" s="44"/>
      <c r="L22" s="44"/>
      <c r="M22" s="44"/>
      <c r="N22" s="44"/>
    </row>
    <row r="23" spans="1:14" ht="30" customHeight="1" x14ac:dyDescent="0.25">
      <c r="A23" s="215" t="s">
        <v>466</v>
      </c>
      <c r="B23" s="847">
        <f>(B16-B17)/(B20+B21)</f>
        <v>24.512263233025429</v>
      </c>
      <c r="C23" s="847"/>
      <c r="D23" s="847"/>
      <c r="E23" s="847"/>
      <c r="F23" s="44"/>
      <c r="G23" s="44"/>
      <c r="H23" s="44"/>
      <c r="I23" s="44"/>
      <c r="J23" s="44"/>
      <c r="K23" s="44"/>
      <c r="L23" s="44"/>
      <c r="M23" s="44"/>
      <c r="N23" s="44"/>
    </row>
    <row r="24" spans="1:14" ht="30" customHeight="1" x14ac:dyDescent="0.25">
      <c r="A24" s="216" t="s">
        <v>476</v>
      </c>
      <c r="B24" s="849">
        <f>B18*J15/1000</f>
        <v>142.03225406203845</v>
      </c>
      <c r="C24" s="849"/>
      <c r="D24" s="849"/>
      <c r="E24" s="849"/>
      <c r="F24" s="44"/>
      <c r="G24" s="44"/>
      <c r="H24" s="44"/>
      <c r="I24" s="44"/>
      <c r="J24" s="44"/>
      <c r="K24" s="44"/>
      <c r="L24" s="44"/>
      <c r="M24" s="44"/>
      <c r="N24" s="44"/>
    </row>
    <row r="25" spans="1:14" ht="30" customHeight="1" x14ac:dyDescent="0.25">
      <c r="A25" s="217" t="s">
        <v>463</v>
      </c>
      <c r="B25" s="881">
        <f>B24/'Objectifs CO2'!C12</f>
        <v>4.1162955980331151E-2</v>
      </c>
      <c r="C25" s="881"/>
      <c r="D25" s="881"/>
      <c r="E25" s="881"/>
      <c r="F25" s="44"/>
      <c r="G25" s="44"/>
      <c r="H25" s="44"/>
      <c r="I25" s="44"/>
      <c r="J25" s="44"/>
      <c r="K25" s="44"/>
      <c r="L25" s="44"/>
      <c r="M25" s="44"/>
      <c r="N25" s="44"/>
    </row>
    <row r="26" spans="1:14" ht="30" customHeight="1" x14ac:dyDescent="0.25">
      <c r="A26" s="218" t="s">
        <v>464</v>
      </c>
      <c r="B26" s="881">
        <f>B24/'Objectifs CO2'!C8</f>
        <v>2.0581477990165575E-2</v>
      </c>
      <c r="C26" s="881"/>
      <c r="D26" s="881"/>
      <c r="E26" s="881"/>
      <c r="F26" s="44"/>
      <c r="G26" s="44"/>
      <c r="H26" s="44"/>
      <c r="I26" s="44"/>
      <c r="J26" s="44"/>
      <c r="K26" s="44"/>
      <c r="L26" s="44"/>
      <c r="M26" s="44"/>
      <c r="N26" s="44"/>
    </row>
    <row r="27" spans="1:14" ht="30" customHeight="1" x14ac:dyDescent="0.25">
      <c r="A27" s="218" t="s">
        <v>24</v>
      </c>
      <c r="B27" s="853"/>
      <c r="C27" s="853"/>
      <c r="D27" s="853"/>
      <c r="E27" s="853"/>
      <c r="F27" s="44"/>
      <c r="G27" s="44"/>
      <c r="H27" s="44"/>
      <c r="I27" s="44"/>
      <c r="J27" s="44"/>
      <c r="K27" s="44"/>
      <c r="L27" s="44"/>
      <c r="M27" s="44"/>
      <c r="N27" s="44"/>
    </row>
    <row r="28" spans="1:14" ht="30" customHeight="1" x14ac:dyDescent="0.25">
      <c r="A28" s="213" t="s">
        <v>418</v>
      </c>
      <c r="B28" s="853" t="s">
        <v>834</v>
      </c>
      <c r="C28" s="853"/>
      <c r="D28" s="853"/>
      <c r="E28" s="853"/>
      <c r="F28" s="37" t="s">
        <v>427</v>
      </c>
    </row>
    <row r="30" spans="1:14" x14ac:dyDescent="0.25">
      <c r="B30" s="867" t="s">
        <v>530</v>
      </c>
      <c r="C30" s="867"/>
      <c r="D30" s="867"/>
      <c r="E30" s="143" t="s">
        <v>538</v>
      </c>
    </row>
    <row r="31" spans="1:14" x14ac:dyDescent="0.25">
      <c r="B31" s="864" t="s">
        <v>521</v>
      </c>
      <c r="C31" s="864"/>
      <c r="D31" s="864"/>
      <c r="E31" s="114"/>
      <c r="G31" s="866" t="s">
        <v>538</v>
      </c>
      <c r="H31" s="866"/>
      <c r="I31" s="866"/>
    </row>
    <row r="32" spans="1:14" x14ac:dyDescent="0.25">
      <c r="B32" s="864" t="s">
        <v>522</v>
      </c>
      <c r="C32" s="864"/>
      <c r="D32" s="864"/>
      <c r="E32" s="114"/>
      <c r="G32" s="252">
        <v>3</v>
      </c>
      <c r="H32" s="866" t="s">
        <v>535</v>
      </c>
      <c r="I32" s="866"/>
    </row>
    <row r="33" spans="2:9" x14ac:dyDescent="0.25">
      <c r="B33" s="864" t="s">
        <v>524</v>
      </c>
      <c r="C33" s="864"/>
      <c r="D33" s="864"/>
      <c r="E33" s="114"/>
      <c r="G33" s="252">
        <v>2</v>
      </c>
      <c r="H33" s="866" t="s">
        <v>536</v>
      </c>
      <c r="I33" s="866"/>
    </row>
    <row r="34" spans="2:9" x14ac:dyDescent="0.25">
      <c r="B34" s="864" t="s">
        <v>523</v>
      </c>
      <c r="C34" s="864"/>
      <c r="D34" s="864"/>
      <c r="E34" s="114"/>
      <c r="G34" s="252">
        <v>1</v>
      </c>
      <c r="H34" s="866" t="s">
        <v>537</v>
      </c>
      <c r="I34" s="866"/>
    </row>
    <row r="35" spans="2:9" x14ac:dyDescent="0.25">
      <c r="B35" s="864" t="s">
        <v>525</v>
      </c>
      <c r="C35" s="864"/>
      <c r="D35" s="864"/>
      <c r="E35" s="114"/>
    </row>
    <row r="36" spans="2:9" x14ac:dyDescent="0.25">
      <c r="B36" s="864" t="s">
        <v>526</v>
      </c>
      <c r="C36" s="864"/>
      <c r="D36" s="864"/>
      <c r="E36" s="114"/>
    </row>
    <row r="37" spans="2:9" x14ac:dyDescent="0.25">
      <c r="B37" s="864" t="s">
        <v>527</v>
      </c>
      <c r="C37" s="864"/>
      <c r="D37" s="864"/>
      <c r="E37" s="114"/>
    </row>
    <row r="38" spans="2:9" x14ac:dyDescent="0.25">
      <c r="B38" s="864" t="s">
        <v>528</v>
      </c>
      <c r="C38" s="864"/>
      <c r="D38" s="864"/>
      <c r="E38" s="114"/>
    </row>
    <row r="39" spans="2:9" x14ac:dyDescent="0.25">
      <c r="B39" s="864" t="s">
        <v>529</v>
      </c>
      <c r="C39" s="864"/>
      <c r="D39" s="864"/>
      <c r="E39" s="114"/>
      <c r="G39" s="863" t="s">
        <v>541</v>
      </c>
      <c r="H39" s="863"/>
      <c r="I39" s="863"/>
    </row>
    <row r="40" spans="2:9" x14ac:dyDescent="0.25">
      <c r="B40" s="865" t="s">
        <v>395</v>
      </c>
      <c r="C40" s="865"/>
      <c r="D40" s="865"/>
      <c r="E40" s="258">
        <f>SUM(E31:E39)</f>
        <v>0</v>
      </c>
      <c r="G40" s="254" t="s">
        <v>542</v>
      </c>
      <c r="H40" s="257" t="s">
        <v>543</v>
      </c>
      <c r="I40" s="254" t="s">
        <v>544</v>
      </c>
    </row>
    <row r="41" spans="2:9" x14ac:dyDescent="0.25">
      <c r="E41" s="202" t="s">
        <v>576</v>
      </c>
      <c r="G41" s="254" t="s">
        <v>545</v>
      </c>
      <c r="H41" s="254" t="s">
        <v>547</v>
      </c>
      <c r="I41" s="254" t="s">
        <v>546</v>
      </c>
    </row>
    <row r="43" spans="2:9" x14ac:dyDescent="0.25">
      <c r="B43" s="860" t="s">
        <v>520</v>
      </c>
      <c r="C43" s="861"/>
      <c r="D43" s="862"/>
      <c r="E43" s="251">
        <v>1</v>
      </c>
      <c r="G43" s="254">
        <v>1</v>
      </c>
      <c r="H43" s="254" t="s">
        <v>539</v>
      </c>
    </row>
    <row r="44" spans="2:9" x14ac:dyDescent="0.25">
      <c r="G44" s="254">
        <v>0</v>
      </c>
      <c r="H44" s="254" t="s">
        <v>540</v>
      </c>
    </row>
  </sheetData>
  <mergeCells count="45">
    <mergeCell ref="B40:D40"/>
    <mergeCell ref="B43:D43"/>
    <mergeCell ref="B35:D35"/>
    <mergeCell ref="B36:D36"/>
    <mergeCell ref="B37:D37"/>
    <mergeCell ref="B38:D38"/>
    <mergeCell ref="B39:D39"/>
    <mergeCell ref="G39:I39"/>
    <mergeCell ref="B32:D32"/>
    <mergeCell ref="H32:I32"/>
    <mergeCell ref="B33:D33"/>
    <mergeCell ref="H33:I33"/>
    <mergeCell ref="B34:D34"/>
    <mergeCell ref="H34:I34"/>
    <mergeCell ref="G31:I31"/>
    <mergeCell ref="B20:E20"/>
    <mergeCell ref="B21:E21"/>
    <mergeCell ref="B22:E22"/>
    <mergeCell ref="B23:E23"/>
    <mergeCell ref="B24:E24"/>
    <mergeCell ref="B25:E25"/>
    <mergeCell ref="B26:E26"/>
    <mergeCell ref="B27:E27"/>
    <mergeCell ref="B28:E28"/>
    <mergeCell ref="B30:D30"/>
    <mergeCell ref="B31:D31"/>
    <mergeCell ref="B19:E19"/>
    <mergeCell ref="B8:E8"/>
    <mergeCell ref="B9:E9"/>
    <mergeCell ref="B10:E10"/>
    <mergeCell ref="B11:E11"/>
    <mergeCell ref="B12:E12"/>
    <mergeCell ref="B13:E13"/>
    <mergeCell ref="B14:E14"/>
    <mergeCell ref="B15:E15"/>
    <mergeCell ref="B16:E16"/>
    <mergeCell ref="B17:E17"/>
    <mergeCell ref="B18:E18"/>
    <mergeCell ref="B7:E7"/>
    <mergeCell ref="A2:E2"/>
    <mergeCell ref="G4:I4"/>
    <mergeCell ref="C5:D5"/>
    <mergeCell ref="G5:I5"/>
    <mergeCell ref="G6:I6"/>
    <mergeCell ref="C4:D4"/>
  </mergeCells>
  <conditionalFormatting sqref="E5">
    <cfRule type="containsText" dxfId="146" priority="1" operator="containsText" text="Terminé">
      <formula>NOT(ISERROR(SEARCH("Terminé",E5)))</formula>
    </cfRule>
    <cfRule type="containsText" dxfId="145" priority="2" operator="containsText" text="En cours">
      <formula>NOT(ISERROR(SEARCH("En cours",E5)))</formula>
    </cfRule>
    <cfRule type="containsText" dxfId="144"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pageSetup paperSize="9" scale="9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44"/>
  <sheetViews>
    <sheetView topLeftCell="A8" zoomScaleNormal="100" zoomScaleSheetLayoutView="220" workbookViewId="0">
      <selection activeCell="G17" sqref="G17"/>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5" ht="21" x14ac:dyDescent="0.35">
      <c r="A1" s="11" t="s">
        <v>87</v>
      </c>
      <c r="B1" s="11"/>
      <c r="C1" s="11"/>
      <c r="D1" s="11"/>
      <c r="E1" s="11"/>
    </row>
    <row r="2" spans="1:15" ht="26.25" x14ac:dyDescent="0.4">
      <c r="A2" s="856" t="s">
        <v>913</v>
      </c>
      <c r="B2" s="856"/>
      <c r="C2" s="856"/>
      <c r="D2" s="856"/>
      <c r="E2" s="856"/>
    </row>
    <row r="3" spans="1:15" ht="27" thickBot="1" x14ac:dyDescent="0.45">
      <c r="A3" s="107"/>
      <c r="B3" s="107"/>
      <c r="C3" s="107"/>
      <c r="D3" s="107"/>
      <c r="E3" s="107"/>
    </row>
    <row r="4" spans="1:15" ht="15.75" thickBot="1" x14ac:dyDescent="0.3">
      <c r="A4" s="12"/>
      <c r="B4" s="233" t="s">
        <v>469</v>
      </c>
      <c r="C4" s="851" t="s">
        <v>40</v>
      </c>
      <c r="D4" s="852"/>
      <c r="E4" s="175" t="s">
        <v>95</v>
      </c>
      <c r="G4" s="848" t="s">
        <v>914</v>
      </c>
      <c r="H4" s="848"/>
      <c r="I4" s="848"/>
    </row>
    <row r="5" spans="1:15" ht="18.75" customHeight="1" x14ac:dyDescent="0.25">
      <c r="A5" s="381" t="s">
        <v>651</v>
      </c>
      <c r="B5" s="382" t="s">
        <v>652</v>
      </c>
      <c r="C5" s="820" t="s">
        <v>18</v>
      </c>
      <c r="D5" s="820"/>
      <c r="E5" s="232" t="s">
        <v>20</v>
      </c>
      <c r="G5" s="848" t="s">
        <v>915</v>
      </c>
      <c r="H5" s="848"/>
      <c r="I5" s="848"/>
    </row>
    <row r="6" spans="1:15" ht="16.5" thickBot="1" x14ac:dyDescent="0.3">
      <c r="A6" s="379" t="s">
        <v>660</v>
      </c>
      <c r="B6" s="380" t="s">
        <v>398</v>
      </c>
      <c r="C6" s="16"/>
      <c r="D6" s="16"/>
      <c r="E6" s="16"/>
      <c r="G6" s="850" t="s">
        <v>916</v>
      </c>
      <c r="H6" s="850"/>
      <c r="I6" s="850"/>
    </row>
    <row r="7" spans="1:15" ht="24" customHeight="1" thickBot="1" x14ac:dyDescent="0.3">
      <c r="A7" s="207" t="s">
        <v>1</v>
      </c>
      <c r="B7" s="820" t="s">
        <v>46</v>
      </c>
      <c r="C7" s="820"/>
      <c r="D7" s="820"/>
      <c r="E7" s="820"/>
    </row>
    <row r="8" spans="1:15" ht="23.25" customHeight="1" thickBot="1" x14ac:dyDescent="0.3">
      <c r="A8" s="207" t="s">
        <v>94</v>
      </c>
      <c r="B8" s="936" t="s">
        <v>791</v>
      </c>
      <c r="C8" s="936"/>
      <c r="D8" s="936"/>
      <c r="E8" s="936"/>
    </row>
    <row r="9" spans="1:15" ht="133.5" customHeight="1" x14ac:dyDescent="0.25">
      <c r="A9" s="208" t="s">
        <v>2</v>
      </c>
      <c r="B9" s="890" t="s">
        <v>958</v>
      </c>
      <c r="C9" s="890"/>
      <c r="D9" s="890"/>
      <c r="E9" s="890"/>
      <c r="G9" s="124" t="s">
        <v>664</v>
      </c>
      <c r="H9" s="124" t="s">
        <v>665</v>
      </c>
      <c r="I9" s="124" t="s">
        <v>666</v>
      </c>
      <c r="J9" s="124" t="s">
        <v>667</v>
      </c>
      <c r="K9" s="124" t="s">
        <v>668</v>
      </c>
      <c r="L9" s="124" t="s">
        <v>669</v>
      </c>
      <c r="M9" s="124" t="s">
        <v>212</v>
      </c>
      <c r="N9" s="124" t="s">
        <v>201</v>
      </c>
      <c r="O9" s="125" t="s">
        <v>213</v>
      </c>
    </row>
    <row r="10" spans="1:15" ht="35.25" customHeight="1" x14ac:dyDescent="0.25">
      <c r="A10" s="208" t="s">
        <v>31</v>
      </c>
      <c r="B10" s="917" t="s">
        <v>959</v>
      </c>
      <c r="C10" s="918"/>
      <c r="D10" s="918"/>
      <c r="E10" s="919"/>
      <c r="G10" s="353">
        <v>26600</v>
      </c>
      <c r="H10" s="353">
        <f>17500+4000</f>
        <v>21500</v>
      </c>
      <c r="I10" s="353">
        <v>19900</v>
      </c>
      <c r="J10" s="353">
        <v>19500</v>
      </c>
      <c r="K10" s="353">
        <v>6000</v>
      </c>
      <c r="L10" s="353">
        <v>13600</v>
      </c>
      <c r="M10" s="126">
        <v>30</v>
      </c>
      <c r="N10" s="126">
        <v>0.86</v>
      </c>
      <c r="O10" s="127">
        <v>0.26100000000000001</v>
      </c>
    </row>
    <row r="11" spans="1:15" ht="30" customHeight="1" x14ac:dyDescent="0.25">
      <c r="A11" s="209" t="s">
        <v>16</v>
      </c>
      <c r="B11" s="874" t="s">
        <v>86</v>
      </c>
      <c r="C11" s="874"/>
      <c r="D11" s="874"/>
      <c r="E11" s="874"/>
    </row>
    <row r="12" spans="1:15" ht="30" customHeight="1" x14ac:dyDescent="0.25">
      <c r="A12" s="209" t="s">
        <v>3</v>
      </c>
      <c r="B12" s="874"/>
      <c r="C12" s="874"/>
      <c r="D12" s="874"/>
      <c r="E12" s="874"/>
      <c r="G12" s="37" t="s">
        <v>977</v>
      </c>
    </row>
    <row r="13" spans="1:15" ht="30" customHeight="1" x14ac:dyDescent="0.25">
      <c r="A13" s="209" t="s">
        <v>17</v>
      </c>
      <c r="B13" s="874"/>
      <c r="C13" s="874"/>
      <c r="D13" s="874"/>
      <c r="E13" s="874"/>
      <c r="G13" s="892" t="s">
        <v>984</v>
      </c>
      <c r="H13" s="892"/>
      <c r="I13" s="892"/>
      <c r="J13" s="892"/>
      <c r="K13" s="892"/>
      <c r="L13" s="892"/>
      <c r="M13" s="892"/>
    </row>
    <row r="14" spans="1:15" ht="30" customHeight="1" x14ac:dyDescent="0.25">
      <c r="A14" s="209" t="s">
        <v>4</v>
      </c>
      <c r="B14" s="874">
        <v>2015</v>
      </c>
      <c r="C14" s="874"/>
      <c r="D14" s="874"/>
      <c r="E14" s="874"/>
      <c r="G14" s="37" t="s">
        <v>979</v>
      </c>
    </row>
    <row r="15" spans="1:15" ht="30" customHeight="1" x14ac:dyDescent="0.25">
      <c r="A15" s="209" t="s">
        <v>5</v>
      </c>
      <c r="B15" s="874">
        <v>2020</v>
      </c>
      <c r="C15" s="874"/>
      <c r="D15" s="874"/>
      <c r="E15" s="874"/>
      <c r="G15" s="937">
        <v>600000</v>
      </c>
      <c r="H15" s="894"/>
      <c r="I15" s="894"/>
      <c r="J15" s="894"/>
      <c r="K15" s="894"/>
      <c r="L15" s="894"/>
      <c r="M15" s="895"/>
    </row>
    <row r="16" spans="1:15" ht="30" customHeight="1" x14ac:dyDescent="0.25">
      <c r="A16" s="209" t="s">
        <v>6</v>
      </c>
      <c r="B16" s="859">
        <v>1200000</v>
      </c>
      <c r="C16" s="859"/>
      <c r="D16" s="859"/>
      <c r="E16" s="859"/>
      <c r="G16" s="896"/>
      <c r="H16" s="897"/>
      <c r="I16" s="897"/>
      <c r="J16" s="897"/>
      <c r="K16" s="897"/>
      <c r="L16" s="897"/>
      <c r="M16" s="898"/>
    </row>
    <row r="17" spans="1:9" ht="30" customHeight="1" x14ac:dyDescent="0.25">
      <c r="A17" s="209" t="s">
        <v>7</v>
      </c>
      <c r="B17" s="859">
        <f>B16*0.5</f>
        <v>600000</v>
      </c>
      <c r="C17" s="859"/>
      <c r="D17" s="859"/>
      <c r="E17" s="859"/>
    </row>
    <row r="18" spans="1:9" ht="30" customHeight="1" x14ac:dyDescent="0.25">
      <c r="A18" s="210" t="s">
        <v>468</v>
      </c>
      <c r="B18" s="868">
        <f>(G10+H10+I10+J10+K10+L10)*10*M10/100</f>
        <v>321300</v>
      </c>
      <c r="C18" s="869"/>
      <c r="D18" s="869"/>
      <c r="E18" s="869"/>
      <c r="G18" s="2"/>
      <c r="H18" s="2"/>
    </row>
    <row r="19" spans="1:9" ht="30" customHeight="1" x14ac:dyDescent="0.25">
      <c r="A19" s="238" t="s">
        <v>467</v>
      </c>
      <c r="B19" s="870">
        <f>F19*(G19+H19/3)/2*10</f>
        <v>0</v>
      </c>
      <c r="C19" s="871"/>
      <c r="D19" s="871"/>
      <c r="E19" s="871"/>
      <c r="G19" s="2"/>
      <c r="H19" s="2"/>
    </row>
    <row r="20" spans="1:9" ht="30" customHeight="1" x14ac:dyDescent="0.25">
      <c r="A20" s="209" t="s">
        <v>8</v>
      </c>
      <c r="B20" s="845">
        <f>B18*N10/10</f>
        <v>27631.8</v>
      </c>
      <c r="C20" s="845"/>
      <c r="D20" s="845"/>
      <c r="E20" s="845"/>
    </row>
    <row r="21" spans="1:9" ht="30" customHeight="1" x14ac:dyDescent="0.25">
      <c r="A21" s="209" t="s">
        <v>9</v>
      </c>
      <c r="B21" s="845"/>
      <c r="C21" s="845"/>
      <c r="D21" s="845"/>
      <c r="E21" s="845"/>
    </row>
    <row r="22" spans="1:9" ht="30" customHeight="1" x14ac:dyDescent="0.25">
      <c r="A22" s="209" t="s">
        <v>465</v>
      </c>
      <c r="B22" s="846">
        <f>B16/(B20+B21)</f>
        <v>43.428224002779409</v>
      </c>
      <c r="C22" s="846"/>
      <c r="D22" s="846"/>
      <c r="E22" s="846"/>
    </row>
    <row r="23" spans="1:9" ht="30" customHeight="1" x14ac:dyDescent="0.25">
      <c r="A23" s="209" t="s">
        <v>466</v>
      </c>
      <c r="B23" s="847">
        <f>(B16-B17)/(B20+B21)</f>
        <v>21.714112001389704</v>
      </c>
      <c r="C23" s="847"/>
      <c r="D23" s="847"/>
      <c r="E23" s="847"/>
    </row>
    <row r="24" spans="1:9" ht="30" customHeight="1" x14ac:dyDescent="0.25">
      <c r="A24" s="211" t="s">
        <v>476</v>
      </c>
      <c r="B24" s="849">
        <f>B18*O10/1000</f>
        <v>83.859300000000005</v>
      </c>
      <c r="C24" s="849"/>
      <c r="D24" s="849"/>
      <c r="E24" s="849"/>
    </row>
    <row r="25" spans="1:9" ht="30" customHeight="1" x14ac:dyDescent="0.25">
      <c r="A25" s="212" t="s">
        <v>463</v>
      </c>
      <c r="B25" s="881">
        <f>B24/'Objectifs CO2'!C15</f>
        <v>6.0759027891890423E-2</v>
      </c>
      <c r="C25" s="881"/>
      <c r="D25" s="881"/>
      <c r="E25" s="881"/>
    </row>
    <row r="26" spans="1:9" ht="30" customHeight="1" x14ac:dyDescent="0.25">
      <c r="A26" s="213" t="s">
        <v>464</v>
      </c>
      <c r="B26" s="881">
        <f>B24/'Objectifs CO2'!C8</f>
        <v>1.2151805578378085E-2</v>
      </c>
      <c r="C26" s="881"/>
      <c r="D26" s="881"/>
      <c r="E26" s="881"/>
    </row>
    <row r="27" spans="1:9" ht="30" customHeight="1" x14ac:dyDescent="0.25">
      <c r="A27" s="213" t="s">
        <v>24</v>
      </c>
      <c r="B27" s="853"/>
      <c r="C27" s="853"/>
      <c r="D27" s="853"/>
      <c r="E27" s="853"/>
    </row>
    <row r="28" spans="1:9" ht="30" customHeight="1" x14ac:dyDescent="0.25">
      <c r="A28" s="213" t="s">
        <v>418</v>
      </c>
      <c r="B28" s="853"/>
      <c r="C28" s="853"/>
      <c r="D28" s="853"/>
      <c r="E28" s="853"/>
    </row>
    <row r="30" spans="1:9" x14ac:dyDescent="0.25">
      <c r="B30" s="867" t="s">
        <v>530</v>
      </c>
      <c r="C30" s="867"/>
      <c r="D30" s="867"/>
      <c r="E30" s="143" t="s">
        <v>538</v>
      </c>
    </row>
    <row r="31" spans="1:9" x14ac:dyDescent="0.25">
      <c r="B31" s="864" t="s">
        <v>521</v>
      </c>
      <c r="C31" s="864"/>
      <c r="D31" s="864"/>
      <c r="E31" s="114"/>
      <c r="G31" s="866" t="s">
        <v>538</v>
      </c>
      <c r="H31" s="866"/>
      <c r="I31" s="866"/>
    </row>
    <row r="32" spans="1:9" x14ac:dyDescent="0.25">
      <c r="B32" s="864" t="s">
        <v>522</v>
      </c>
      <c r="C32" s="864"/>
      <c r="D32" s="864"/>
      <c r="E32" s="114"/>
      <c r="G32" s="252">
        <v>3</v>
      </c>
      <c r="H32" s="866" t="s">
        <v>535</v>
      </c>
      <c r="I32" s="866"/>
    </row>
    <row r="33" spans="2:9" x14ac:dyDescent="0.25">
      <c r="B33" s="864" t="s">
        <v>524</v>
      </c>
      <c r="C33" s="864"/>
      <c r="D33" s="864"/>
      <c r="E33" s="114"/>
      <c r="G33" s="252">
        <v>2</v>
      </c>
      <c r="H33" s="866" t="s">
        <v>536</v>
      </c>
      <c r="I33" s="866"/>
    </row>
    <row r="34" spans="2:9" x14ac:dyDescent="0.25">
      <c r="B34" s="864" t="s">
        <v>523</v>
      </c>
      <c r="C34" s="864"/>
      <c r="D34" s="864"/>
      <c r="E34" s="114"/>
      <c r="G34" s="252">
        <v>1</v>
      </c>
      <c r="H34" s="866" t="s">
        <v>537</v>
      </c>
      <c r="I34" s="866"/>
    </row>
    <row r="35" spans="2:9" x14ac:dyDescent="0.25">
      <c r="B35" s="864" t="s">
        <v>525</v>
      </c>
      <c r="C35" s="864"/>
      <c r="D35" s="864"/>
      <c r="E35" s="114"/>
    </row>
    <row r="36" spans="2:9" x14ac:dyDescent="0.25">
      <c r="B36" s="864" t="s">
        <v>526</v>
      </c>
      <c r="C36" s="864"/>
      <c r="D36" s="864"/>
      <c r="E36" s="114"/>
    </row>
    <row r="37" spans="2:9" x14ac:dyDescent="0.25">
      <c r="B37" s="864" t="s">
        <v>527</v>
      </c>
      <c r="C37" s="864"/>
      <c r="D37" s="864"/>
      <c r="E37" s="114"/>
    </row>
    <row r="38" spans="2:9" x14ac:dyDescent="0.25">
      <c r="B38" s="864" t="s">
        <v>528</v>
      </c>
      <c r="C38" s="864"/>
      <c r="D38" s="864"/>
      <c r="E38" s="114"/>
    </row>
    <row r="39" spans="2:9" x14ac:dyDescent="0.25">
      <c r="B39" s="864" t="s">
        <v>529</v>
      </c>
      <c r="C39" s="864"/>
      <c r="D39" s="864"/>
      <c r="E39" s="114"/>
      <c r="G39" s="863" t="s">
        <v>541</v>
      </c>
      <c r="H39" s="863"/>
      <c r="I39" s="863"/>
    </row>
    <row r="40" spans="2:9" x14ac:dyDescent="0.25">
      <c r="B40" s="865" t="s">
        <v>395</v>
      </c>
      <c r="C40" s="865"/>
      <c r="D40" s="865"/>
      <c r="E40" s="258">
        <f>SUM(E31:E39)</f>
        <v>0</v>
      </c>
      <c r="G40" s="254" t="s">
        <v>542</v>
      </c>
      <c r="H40" s="257" t="s">
        <v>543</v>
      </c>
      <c r="I40" s="254" t="s">
        <v>544</v>
      </c>
    </row>
    <row r="41" spans="2:9" x14ac:dyDescent="0.25">
      <c r="E41" s="202" t="s">
        <v>576</v>
      </c>
      <c r="G41" s="254" t="s">
        <v>545</v>
      </c>
      <c r="H41" s="254" t="s">
        <v>547</v>
      </c>
      <c r="I41" s="254" t="s">
        <v>546</v>
      </c>
    </row>
    <row r="43" spans="2:9" x14ac:dyDescent="0.25">
      <c r="B43" s="860" t="s">
        <v>520</v>
      </c>
      <c r="C43" s="861"/>
      <c r="D43" s="862"/>
      <c r="E43" s="251">
        <v>1</v>
      </c>
      <c r="G43" s="254">
        <v>1</v>
      </c>
      <c r="H43" s="254" t="s">
        <v>539</v>
      </c>
    </row>
    <row r="44" spans="2:9" x14ac:dyDescent="0.25">
      <c r="G44" s="254">
        <v>0</v>
      </c>
      <c r="H44" s="254" t="s">
        <v>540</v>
      </c>
    </row>
  </sheetData>
  <mergeCells count="47">
    <mergeCell ref="G6:I6"/>
    <mergeCell ref="B19:E19"/>
    <mergeCell ref="B9:E9"/>
    <mergeCell ref="A2:E2"/>
    <mergeCell ref="C5:D5"/>
    <mergeCell ref="B7:E7"/>
    <mergeCell ref="B8:E8"/>
    <mergeCell ref="B10:E10"/>
    <mergeCell ref="B11:E11"/>
    <mergeCell ref="B12:E12"/>
    <mergeCell ref="B13:E13"/>
    <mergeCell ref="B14:E14"/>
    <mergeCell ref="C4:D4"/>
    <mergeCell ref="G13:M13"/>
    <mergeCell ref="G15:M16"/>
    <mergeCell ref="G31:I31"/>
    <mergeCell ref="B32:D32"/>
    <mergeCell ref="H32:I32"/>
    <mergeCell ref="B15:E15"/>
    <mergeCell ref="B16:E16"/>
    <mergeCell ref="B17:E17"/>
    <mergeCell ref="B28:E28"/>
    <mergeCell ref="B25:E25"/>
    <mergeCell ref="B26:E26"/>
    <mergeCell ref="B27:E27"/>
    <mergeCell ref="B18:E18"/>
    <mergeCell ref="B20:E20"/>
    <mergeCell ref="B21:E21"/>
    <mergeCell ref="B23:E23"/>
    <mergeCell ref="B24:E24"/>
    <mergeCell ref="B22:E22"/>
    <mergeCell ref="B43:D43"/>
    <mergeCell ref="G4:I4"/>
    <mergeCell ref="G5:I5"/>
    <mergeCell ref="G39:I39"/>
    <mergeCell ref="B36:D36"/>
    <mergeCell ref="B37:D37"/>
    <mergeCell ref="B38:D38"/>
    <mergeCell ref="B39:D39"/>
    <mergeCell ref="B40:D40"/>
    <mergeCell ref="B33:D33"/>
    <mergeCell ref="H33:I33"/>
    <mergeCell ref="B34:D34"/>
    <mergeCell ref="H34:I34"/>
    <mergeCell ref="B35:D35"/>
    <mergeCell ref="B30:D30"/>
    <mergeCell ref="B31:D31"/>
  </mergeCells>
  <conditionalFormatting sqref="E5">
    <cfRule type="containsText" dxfId="143" priority="1" operator="containsText" text="Terminé">
      <formula>NOT(ISERROR(SEARCH("Terminé",E5)))</formula>
    </cfRule>
    <cfRule type="containsText" dxfId="142" priority="2" operator="containsText" text="En cours">
      <formula>NOT(ISERROR(SEARCH("En cours",E5)))</formula>
    </cfRule>
    <cfRule type="containsText" dxfId="141"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pageSetup paperSize="9" scale="90" fitToHeight="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44"/>
  <sheetViews>
    <sheetView topLeftCell="B4" zoomScaleNormal="100" zoomScaleSheetLayoutView="220"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3" ht="21" x14ac:dyDescent="0.35">
      <c r="A1" s="11" t="s">
        <v>87</v>
      </c>
      <c r="B1" s="11"/>
      <c r="C1" s="11"/>
      <c r="D1" s="11"/>
      <c r="E1" s="11"/>
    </row>
    <row r="2" spans="1:13" ht="26.25" x14ac:dyDescent="0.4">
      <c r="A2" s="856" t="s">
        <v>913</v>
      </c>
      <c r="B2" s="856"/>
      <c r="C2" s="856"/>
      <c r="D2" s="856"/>
      <c r="E2" s="856"/>
    </row>
    <row r="3" spans="1:13" ht="27" thickBot="1" x14ac:dyDescent="0.45">
      <c r="A3" s="107"/>
      <c r="B3" s="107"/>
      <c r="C3" s="107"/>
      <c r="D3" s="107"/>
      <c r="E3" s="107"/>
    </row>
    <row r="4" spans="1:13" ht="15.75" thickBot="1" x14ac:dyDescent="0.3">
      <c r="A4" s="12"/>
      <c r="B4" s="233" t="s">
        <v>469</v>
      </c>
      <c r="C4" s="851" t="s">
        <v>35</v>
      </c>
      <c r="D4" s="852"/>
      <c r="E4" s="175" t="s">
        <v>98</v>
      </c>
      <c r="G4" s="848" t="s">
        <v>914</v>
      </c>
      <c r="H4" s="848"/>
      <c r="I4" s="848"/>
    </row>
    <row r="5" spans="1:13" ht="15.75" x14ac:dyDescent="0.25">
      <c r="A5" s="381" t="s">
        <v>651</v>
      </c>
      <c r="B5" s="382" t="s">
        <v>50</v>
      </c>
      <c r="C5" s="820" t="s">
        <v>18</v>
      </c>
      <c r="D5" s="820"/>
      <c r="E5" s="232" t="s">
        <v>19</v>
      </c>
      <c r="G5" s="848" t="s">
        <v>915</v>
      </c>
      <c r="H5" s="848"/>
      <c r="I5" s="848"/>
    </row>
    <row r="6" spans="1:13" ht="16.5" thickBot="1" x14ac:dyDescent="0.3">
      <c r="A6" s="379" t="s">
        <v>660</v>
      </c>
      <c r="B6" s="380" t="s">
        <v>658</v>
      </c>
      <c r="C6" s="16"/>
      <c r="D6" s="16"/>
      <c r="E6" s="16"/>
      <c r="G6" s="850" t="s">
        <v>916</v>
      </c>
      <c r="H6" s="850"/>
      <c r="I6" s="850"/>
    </row>
    <row r="7" spans="1:13" ht="24" customHeight="1" thickBot="1" x14ac:dyDescent="0.3">
      <c r="A7" s="207" t="s">
        <v>1</v>
      </c>
      <c r="B7" s="820" t="s">
        <v>35</v>
      </c>
      <c r="C7" s="820"/>
      <c r="D7" s="820"/>
      <c r="E7" s="820"/>
    </row>
    <row r="8" spans="1:13" ht="24" customHeight="1" thickBot="1" x14ac:dyDescent="0.3">
      <c r="A8" s="207" t="s">
        <v>0</v>
      </c>
      <c r="B8" s="820" t="s">
        <v>96</v>
      </c>
      <c r="C8" s="820"/>
      <c r="D8" s="820"/>
      <c r="E8" s="820"/>
    </row>
    <row r="9" spans="1:13" ht="54" customHeight="1" x14ac:dyDescent="0.25">
      <c r="A9" s="208" t="s">
        <v>2</v>
      </c>
      <c r="B9" s="890" t="s">
        <v>97</v>
      </c>
      <c r="C9" s="889"/>
      <c r="D9" s="889"/>
      <c r="E9" s="889"/>
      <c r="G9" s="116" t="s">
        <v>214</v>
      </c>
      <c r="H9" s="116" t="s">
        <v>212</v>
      </c>
      <c r="I9" s="117" t="s">
        <v>215</v>
      </c>
      <c r="J9" s="116" t="s">
        <v>175</v>
      </c>
      <c r="K9" s="116" t="s">
        <v>216</v>
      </c>
      <c r="L9" s="117" t="s">
        <v>217</v>
      </c>
      <c r="M9" s="116" t="s">
        <v>218</v>
      </c>
    </row>
    <row r="10" spans="1:13" ht="54" customHeight="1" x14ac:dyDescent="0.25">
      <c r="A10" s="208" t="s">
        <v>31</v>
      </c>
      <c r="B10" s="890" t="s">
        <v>727</v>
      </c>
      <c r="C10" s="889"/>
      <c r="D10" s="889"/>
      <c r="E10" s="889"/>
      <c r="G10" s="118">
        <v>10000</v>
      </c>
      <c r="H10" s="118">
        <v>0.3</v>
      </c>
      <c r="I10" s="119">
        <v>60</v>
      </c>
      <c r="J10" s="118">
        <v>0.2</v>
      </c>
      <c r="K10" s="118">
        <v>2</v>
      </c>
      <c r="L10" s="119">
        <v>0.11700000000000001</v>
      </c>
      <c r="M10" s="118">
        <v>7</v>
      </c>
    </row>
    <row r="11" spans="1:13" ht="30" customHeight="1" x14ac:dyDescent="0.25">
      <c r="A11" s="209" t="s">
        <v>16</v>
      </c>
      <c r="B11" s="874" t="s">
        <v>512</v>
      </c>
      <c r="C11" s="874"/>
      <c r="D11" s="874"/>
      <c r="E11" s="874"/>
    </row>
    <row r="12" spans="1:13" ht="30" customHeight="1" x14ac:dyDescent="0.25">
      <c r="A12" s="209" t="s">
        <v>3</v>
      </c>
      <c r="B12" s="874"/>
      <c r="C12" s="874"/>
      <c r="D12" s="874"/>
      <c r="E12" s="874"/>
    </row>
    <row r="13" spans="1:13" ht="30" customHeight="1" x14ac:dyDescent="0.25">
      <c r="A13" s="209" t="s">
        <v>17</v>
      </c>
      <c r="B13" s="874"/>
      <c r="C13" s="874"/>
      <c r="D13" s="874"/>
      <c r="E13" s="874"/>
    </row>
    <row r="14" spans="1:13" ht="30" customHeight="1" x14ac:dyDescent="0.25">
      <c r="A14" s="209" t="s">
        <v>4</v>
      </c>
      <c r="B14" s="874">
        <v>2015</v>
      </c>
      <c r="C14" s="874"/>
      <c r="D14" s="874"/>
      <c r="E14" s="874"/>
    </row>
    <row r="15" spans="1:13" ht="30" customHeight="1" x14ac:dyDescent="0.25">
      <c r="A15" s="209" t="s">
        <v>5</v>
      </c>
      <c r="B15" s="874">
        <v>2020</v>
      </c>
      <c r="C15" s="874"/>
      <c r="D15" s="874"/>
      <c r="E15" s="874"/>
    </row>
    <row r="16" spans="1:13" ht="30" customHeight="1" x14ac:dyDescent="0.25">
      <c r="A16" s="209" t="s">
        <v>6</v>
      </c>
      <c r="B16" s="859">
        <f>M10*G10</f>
        <v>70000</v>
      </c>
      <c r="C16" s="859"/>
      <c r="D16" s="859"/>
      <c r="E16" s="859"/>
    </row>
    <row r="17" spans="1:9" ht="30" customHeight="1" x14ac:dyDescent="0.25">
      <c r="A17" s="209" t="s">
        <v>7</v>
      </c>
      <c r="B17" s="859">
        <v>0</v>
      </c>
      <c r="C17" s="859"/>
      <c r="D17" s="859"/>
      <c r="E17" s="859"/>
    </row>
    <row r="18" spans="1:9" ht="30" customHeight="1" x14ac:dyDescent="0.25">
      <c r="A18" s="210" t="s">
        <v>468</v>
      </c>
      <c r="B18" s="868">
        <f>G10*I10*H10*365*K10/1000</f>
        <v>131400</v>
      </c>
      <c r="C18" s="869"/>
      <c r="D18" s="869"/>
      <c r="E18" s="869"/>
    </row>
    <row r="19" spans="1:9" ht="30" customHeight="1" x14ac:dyDescent="0.25">
      <c r="A19" s="238" t="s">
        <v>467</v>
      </c>
      <c r="B19" s="870">
        <f>L10*H24</f>
        <v>0</v>
      </c>
      <c r="C19" s="871"/>
      <c r="D19" s="871"/>
      <c r="E19" s="871"/>
    </row>
    <row r="20" spans="1:9" ht="30" customHeight="1" x14ac:dyDescent="0.25">
      <c r="A20" s="209" t="s">
        <v>8</v>
      </c>
      <c r="B20" s="845">
        <f>B18*J10</f>
        <v>26280</v>
      </c>
      <c r="C20" s="845"/>
      <c r="D20" s="845"/>
      <c r="E20" s="845"/>
    </row>
    <row r="21" spans="1:9" ht="30" customHeight="1" x14ac:dyDescent="0.25">
      <c r="A21" s="209" t="s">
        <v>9</v>
      </c>
      <c r="B21" s="845"/>
      <c r="C21" s="845"/>
      <c r="D21" s="845"/>
      <c r="E21" s="845"/>
    </row>
    <row r="22" spans="1:9" ht="30" customHeight="1" x14ac:dyDescent="0.25">
      <c r="A22" s="209" t="s">
        <v>465</v>
      </c>
      <c r="B22" s="846">
        <f>B16/(B20+B21)</f>
        <v>2.6636225266362255</v>
      </c>
      <c r="C22" s="846"/>
      <c r="D22" s="846"/>
      <c r="E22" s="846"/>
    </row>
    <row r="23" spans="1:9" ht="30" customHeight="1" x14ac:dyDescent="0.25">
      <c r="A23" s="209" t="s">
        <v>466</v>
      </c>
      <c r="B23" s="847">
        <f>(B16-B17)/(B20+B21)</f>
        <v>2.6636225266362255</v>
      </c>
      <c r="C23" s="847"/>
      <c r="D23" s="847"/>
      <c r="E23" s="847"/>
    </row>
    <row r="24" spans="1:9" ht="30" customHeight="1" x14ac:dyDescent="0.25">
      <c r="A24" s="211" t="s">
        <v>476</v>
      </c>
      <c r="B24" s="901">
        <f>B18/1000*L10</f>
        <v>15.373800000000001</v>
      </c>
      <c r="C24" s="901"/>
      <c r="D24" s="901"/>
      <c r="E24" s="901"/>
    </row>
    <row r="25" spans="1:9" ht="30" customHeight="1" x14ac:dyDescent="0.25">
      <c r="A25" s="212" t="s">
        <v>463</v>
      </c>
      <c r="B25" s="881">
        <f>B24/'Objectifs CO2'!C12</f>
        <v>4.4555446706774082E-3</v>
      </c>
      <c r="C25" s="881"/>
      <c r="D25" s="881"/>
      <c r="E25" s="881"/>
    </row>
    <row r="26" spans="1:9" ht="30" customHeight="1" x14ac:dyDescent="0.25">
      <c r="A26" s="213" t="s">
        <v>464</v>
      </c>
      <c r="B26" s="881">
        <f>B24/'Objectifs CO2'!C8</f>
        <v>2.2277723353387041E-3</v>
      </c>
      <c r="C26" s="881"/>
      <c r="D26" s="881"/>
      <c r="E26" s="881"/>
    </row>
    <row r="27" spans="1:9" ht="30" customHeight="1" x14ac:dyDescent="0.25">
      <c r="A27" s="213" t="s">
        <v>24</v>
      </c>
      <c r="B27" s="853" t="s">
        <v>10</v>
      </c>
      <c r="C27" s="853"/>
      <c r="D27" s="853"/>
      <c r="E27" s="853"/>
    </row>
    <row r="28" spans="1:9" ht="30" customHeight="1" x14ac:dyDescent="0.25">
      <c r="A28" s="213" t="s">
        <v>418</v>
      </c>
      <c r="B28" s="938" t="s">
        <v>835</v>
      </c>
      <c r="C28" s="939"/>
      <c r="D28" s="939"/>
      <c r="E28" s="940"/>
    </row>
    <row r="30" spans="1:9" x14ac:dyDescent="0.25">
      <c r="B30" s="867" t="s">
        <v>530</v>
      </c>
      <c r="C30" s="867"/>
      <c r="D30" s="867"/>
      <c r="E30" s="143" t="s">
        <v>538</v>
      </c>
    </row>
    <row r="31" spans="1:9" x14ac:dyDescent="0.25">
      <c r="B31" s="864" t="s">
        <v>521</v>
      </c>
      <c r="C31" s="864"/>
      <c r="D31" s="864"/>
      <c r="E31" s="114"/>
      <c r="G31" s="866" t="s">
        <v>538</v>
      </c>
      <c r="H31" s="866"/>
      <c r="I31" s="866"/>
    </row>
    <row r="32" spans="1:9" x14ac:dyDescent="0.25">
      <c r="B32" s="864" t="s">
        <v>522</v>
      </c>
      <c r="C32" s="864"/>
      <c r="D32" s="864"/>
      <c r="E32" s="114"/>
      <c r="G32" s="252">
        <v>3</v>
      </c>
      <c r="H32" s="866" t="s">
        <v>535</v>
      </c>
      <c r="I32" s="866"/>
    </row>
    <row r="33" spans="2:9" x14ac:dyDescent="0.25">
      <c r="B33" s="864" t="s">
        <v>524</v>
      </c>
      <c r="C33" s="864"/>
      <c r="D33" s="864"/>
      <c r="E33" s="114"/>
      <c r="G33" s="252">
        <v>2</v>
      </c>
      <c r="H33" s="866" t="s">
        <v>536</v>
      </c>
      <c r="I33" s="866"/>
    </row>
    <row r="34" spans="2:9" x14ac:dyDescent="0.25">
      <c r="B34" s="864" t="s">
        <v>523</v>
      </c>
      <c r="C34" s="864"/>
      <c r="D34" s="864"/>
      <c r="E34" s="114"/>
      <c r="G34" s="252">
        <v>1</v>
      </c>
      <c r="H34" s="866" t="s">
        <v>537</v>
      </c>
      <c r="I34" s="866"/>
    </row>
    <row r="35" spans="2:9" x14ac:dyDescent="0.25">
      <c r="B35" s="864" t="s">
        <v>525</v>
      </c>
      <c r="C35" s="864"/>
      <c r="D35" s="864"/>
      <c r="E35" s="114"/>
    </row>
    <row r="36" spans="2:9" x14ac:dyDescent="0.25">
      <c r="B36" s="864" t="s">
        <v>526</v>
      </c>
      <c r="C36" s="864"/>
      <c r="D36" s="864"/>
      <c r="E36" s="114"/>
    </row>
    <row r="37" spans="2:9" x14ac:dyDescent="0.25">
      <c r="B37" s="864" t="s">
        <v>527</v>
      </c>
      <c r="C37" s="864"/>
      <c r="D37" s="864"/>
      <c r="E37" s="114"/>
    </row>
    <row r="38" spans="2:9" x14ac:dyDescent="0.25">
      <c r="B38" s="864" t="s">
        <v>528</v>
      </c>
      <c r="C38" s="864"/>
      <c r="D38" s="864"/>
      <c r="E38" s="114"/>
    </row>
    <row r="39" spans="2:9" x14ac:dyDescent="0.25">
      <c r="B39" s="864" t="s">
        <v>529</v>
      </c>
      <c r="C39" s="864"/>
      <c r="D39" s="864"/>
      <c r="E39" s="114"/>
      <c r="G39" s="863" t="s">
        <v>541</v>
      </c>
      <c r="H39" s="863"/>
      <c r="I39" s="863"/>
    </row>
    <row r="40" spans="2:9" x14ac:dyDescent="0.25">
      <c r="B40" s="865" t="s">
        <v>395</v>
      </c>
      <c r="C40" s="865"/>
      <c r="D40" s="865"/>
      <c r="E40" s="258">
        <f>SUM(E31:E39)</f>
        <v>0</v>
      </c>
      <c r="G40" s="254" t="s">
        <v>542</v>
      </c>
      <c r="H40" s="257" t="s">
        <v>543</v>
      </c>
      <c r="I40" s="254" t="s">
        <v>544</v>
      </c>
    </row>
    <row r="41" spans="2:9" x14ac:dyDescent="0.25">
      <c r="E41" s="202" t="s">
        <v>576</v>
      </c>
      <c r="G41" s="254" t="s">
        <v>545</v>
      </c>
      <c r="H41" s="254" t="s">
        <v>547</v>
      </c>
      <c r="I41" s="254" t="s">
        <v>546</v>
      </c>
    </row>
    <row r="43" spans="2:9" x14ac:dyDescent="0.25">
      <c r="B43" s="860" t="s">
        <v>520</v>
      </c>
      <c r="C43" s="861"/>
      <c r="D43" s="862"/>
      <c r="E43" s="251">
        <v>1</v>
      </c>
      <c r="G43" s="254">
        <v>1</v>
      </c>
      <c r="H43" s="254" t="s">
        <v>539</v>
      </c>
    </row>
    <row r="44" spans="2:9" x14ac:dyDescent="0.25">
      <c r="G44" s="254">
        <v>0</v>
      </c>
      <c r="H44" s="254" t="s">
        <v>540</v>
      </c>
    </row>
  </sheetData>
  <mergeCells count="45">
    <mergeCell ref="G6:I6"/>
    <mergeCell ref="B19:E19"/>
    <mergeCell ref="B9:E9"/>
    <mergeCell ref="A2:E2"/>
    <mergeCell ref="C5:D5"/>
    <mergeCell ref="B7:E7"/>
    <mergeCell ref="B8:E8"/>
    <mergeCell ref="B10:E10"/>
    <mergeCell ref="B11:E11"/>
    <mergeCell ref="B12:E12"/>
    <mergeCell ref="B13:E13"/>
    <mergeCell ref="B14:E14"/>
    <mergeCell ref="C4:D4"/>
    <mergeCell ref="G31:I31"/>
    <mergeCell ref="B32:D32"/>
    <mergeCell ref="H32:I32"/>
    <mergeCell ref="B15:E15"/>
    <mergeCell ref="B16:E16"/>
    <mergeCell ref="B17:E17"/>
    <mergeCell ref="B28:E28"/>
    <mergeCell ref="B25:E25"/>
    <mergeCell ref="B26:E26"/>
    <mergeCell ref="B27:E27"/>
    <mergeCell ref="B18:E18"/>
    <mergeCell ref="B20:E20"/>
    <mergeCell ref="B21:E21"/>
    <mergeCell ref="B23:E23"/>
    <mergeCell ref="B24:E24"/>
    <mergeCell ref="B22:E22"/>
    <mergeCell ref="B43:D43"/>
    <mergeCell ref="G4:I4"/>
    <mergeCell ref="G5:I5"/>
    <mergeCell ref="G39:I39"/>
    <mergeCell ref="B36:D36"/>
    <mergeCell ref="B37:D37"/>
    <mergeCell ref="B38:D38"/>
    <mergeCell ref="B39:D39"/>
    <mergeCell ref="B40:D40"/>
    <mergeCell ref="B33:D33"/>
    <mergeCell ref="H33:I33"/>
    <mergeCell ref="B34:D34"/>
    <mergeCell ref="H34:I34"/>
    <mergeCell ref="B35:D35"/>
    <mergeCell ref="B30:D30"/>
    <mergeCell ref="B31:D31"/>
  </mergeCells>
  <conditionalFormatting sqref="E5">
    <cfRule type="containsText" dxfId="140" priority="1" operator="containsText" text="Terminé">
      <formula>NOT(ISERROR(SEARCH("Terminé",E5)))</formula>
    </cfRule>
    <cfRule type="containsText" dxfId="139" priority="2" operator="containsText" text="En cours">
      <formula>NOT(ISERROR(SEARCH("En cours",E5)))</formula>
    </cfRule>
    <cfRule type="containsText" dxfId="138"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pageSetup paperSize="9" scale="9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28"/>
  <sheetViews>
    <sheetView zoomScaleNormal="100" zoomScaleSheetLayoutView="100" workbookViewId="0">
      <selection activeCell="G12" sqref="G12"/>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3" ht="21" x14ac:dyDescent="0.35">
      <c r="A1" s="11" t="s">
        <v>87</v>
      </c>
      <c r="B1" s="11"/>
      <c r="C1" s="11"/>
      <c r="D1" s="11"/>
      <c r="E1" s="11"/>
    </row>
    <row r="2" spans="1:13" ht="26.25" x14ac:dyDescent="0.4">
      <c r="A2" s="856" t="s">
        <v>913</v>
      </c>
      <c r="B2" s="856"/>
      <c r="C2" s="856"/>
      <c r="D2" s="856"/>
      <c r="E2" s="856"/>
    </row>
    <row r="3" spans="1:13" ht="27" thickBot="1" x14ac:dyDescent="0.45">
      <c r="A3" s="398"/>
      <c r="B3" s="398"/>
      <c r="C3" s="398"/>
      <c r="D3" s="398"/>
      <c r="E3" s="398"/>
    </row>
    <row r="4" spans="1:13" ht="15.75" thickBot="1" x14ac:dyDescent="0.3">
      <c r="A4" s="12"/>
      <c r="B4" s="233" t="s">
        <v>469</v>
      </c>
      <c r="C4" s="851" t="s">
        <v>35</v>
      </c>
      <c r="D4" s="852"/>
      <c r="E4" s="175" t="s">
        <v>794</v>
      </c>
      <c r="G4" s="848" t="s">
        <v>914</v>
      </c>
      <c r="H4" s="848"/>
      <c r="I4" s="848"/>
    </row>
    <row r="5" spans="1:13" ht="15.75" x14ac:dyDescent="0.25">
      <c r="A5" s="381" t="s">
        <v>651</v>
      </c>
      <c r="B5" s="382" t="s">
        <v>50</v>
      </c>
      <c r="C5" s="820" t="s">
        <v>18</v>
      </c>
      <c r="D5" s="820"/>
      <c r="E5" s="232" t="s">
        <v>20</v>
      </c>
      <c r="G5" s="848" t="s">
        <v>915</v>
      </c>
      <c r="H5" s="848"/>
      <c r="I5" s="848"/>
    </row>
    <row r="6" spans="1:13" ht="16.5" thickBot="1" x14ac:dyDescent="0.3">
      <c r="A6" s="379" t="s">
        <v>660</v>
      </c>
      <c r="B6" s="380" t="s">
        <v>658</v>
      </c>
      <c r="C6" s="16"/>
      <c r="D6" s="16"/>
      <c r="E6" s="16"/>
      <c r="G6" s="850" t="s">
        <v>916</v>
      </c>
      <c r="H6" s="850"/>
      <c r="I6" s="850"/>
    </row>
    <row r="7" spans="1:13" ht="24" customHeight="1" thickBot="1" x14ac:dyDescent="0.3">
      <c r="A7" s="207" t="s">
        <v>1</v>
      </c>
      <c r="B7" s="820" t="s">
        <v>35</v>
      </c>
      <c r="C7" s="820"/>
      <c r="D7" s="820"/>
      <c r="E7" s="820"/>
    </row>
    <row r="8" spans="1:13" ht="24" customHeight="1" thickBot="1" x14ac:dyDescent="0.3">
      <c r="A8" s="207" t="s">
        <v>0</v>
      </c>
      <c r="B8" s="820" t="s">
        <v>797</v>
      </c>
      <c r="C8" s="820"/>
      <c r="D8" s="820"/>
      <c r="E8" s="820"/>
    </row>
    <row r="9" spans="1:13" ht="54" customHeight="1" x14ac:dyDescent="0.25">
      <c r="A9" s="208" t="s">
        <v>2</v>
      </c>
      <c r="B9" s="890" t="s">
        <v>798</v>
      </c>
      <c r="C9" s="889"/>
      <c r="D9" s="889"/>
      <c r="E9" s="889"/>
      <c r="G9" s="116" t="s">
        <v>987</v>
      </c>
      <c r="H9" s="116" t="s">
        <v>801</v>
      </c>
      <c r="I9" s="117" t="s">
        <v>215</v>
      </c>
      <c r="J9" s="116" t="s">
        <v>175</v>
      </c>
      <c r="K9" s="116" t="s">
        <v>216</v>
      </c>
      <c r="L9" s="117" t="s">
        <v>217</v>
      </c>
      <c r="M9" s="116" t="s">
        <v>218</v>
      </c>
    </row>
    <row r="10" spans="1:13" ht="54" customHeight="1" x14ac:dyDescent="0.25">
      <c r="A10" s="208" t="s">
        <v>31</v>
      </c>
      <c r="B10" s="890" t="s">
        <v>799</v>
      </c>
      <c r="C10" s="889"/>
      <c r="D10" s="889"/>
      <c r="E10" s="889"/>
      <c r="G10" s="400">
        <v>400</v>
      </c>
      <c r="H10" s="400">
        <v>300</v>
      </c>
      <c r="I10" s="399"/>
      <c r="J10" s="400">
        <v>0.25</v>
      </c>
      <c r="K10" s="400">
        <v>2</v>
      </c>
      <c r="L10" s="399">
        <v>0.11700000000000001</v>
      </c>
      <c r="M10" s="400">
        <v>450</v>
      </c>
    </row>
    <row r="11" spans="1:13" ht="30" customHeight="1" x14ac:dyDescent="0.25">
      <c r="A11" s="209" t="s">
        <v>16</v>
      </c>
      <c r="B11" s="874" t="s">
        <v>512</v>
      </c>
      <c r="C11" s="874"/>
      <c r="D11" s="874"/>
      <c r="E11" s="874"/>
    </row>
    <row r="12" spans="1:13" ht="30" customHeight="1" x14ac:dyDescent="0.25">
      <c r="A12" s="209" t="s">
        <v>3</v>
      </c>
      <c r="B12" s="874"/>
      <c r="C12" s="874"/>
      <c r="D12" s="874"/>
      <c r="E12" s="874"/>
    </row>
    <row r="13" spans="1:13" ht="30" customHeight="1" x14ac:dyDescent="0.25">
      <c r="A13" s="209" t="s">
        <v>17</v>
      </c>
      <c r="B13" s="874"/>
      <c r="C13" s="874"/>
      <c r="D13" s="874"/>
      <c r="E13" s="874"/>
    </row>
    <row r="14" spans="1:13" ht="30" customHeight="1" x14ac:dyDescent="0.25">
      <c r="A14" s="209" t="s">
        <v>4</v>
      </c>
      <c r="B14" s="874">
        <v>2015</v>
      </c>
      <c r="C14" s="874"/>
      <c r="D14" s="874"/>
      <c r="E14" s="874"/>
    </row>
    <row r="15" spans="1:13" ht="30" customHeight="1" x14ac:dyDescent="0.25">
      <c r="A15" s="209" t="s">
        <v>5</v>
      </c>
      <c r="B15" s="874">
        <v>2020</v>
      </c>
      <c r="C15" s="874"/>
      <c r="D15" s="874"/>
      <c r="E15" s="874"/>
    </row>
    <row r="16" spans="1:13" ht="30" customHeight="1" x14ac:dyDescent="0.25">
      <c r="A16" s="209" t="s">
        <v>6</v>
      </c>
      <c r="B16" s="859">
        <f>M10*G10</f>
        <v>180000</v>
      </c>
      <c r="C16" s="859"/>
      <c r="D16" s="859"/>
      <c r="E16" s="859"/>
    </row>
    <row r="17" spans="1:5" ht="30" customHeight="1" x14ac:dyDescent="0.25">
      <c r="A17" s="209" t="s">
        <v>7</v>
      </c>
      <c r="B17" s="859">
        <v>0</v>
      </c>
      <c r="C17" s="859"/>
      <c r="D17" s="859"/>
      <c r="E17" s="859"/>
    </row>
    <row r="18" spans="1:5" ht="30" customHeight="1" x14ac:dyDescent="0.25">
      <c r="A18" s="210" t="s">
        <v>468</v>
      </c>
      <c r="B18" s="868">
        <f>G10*H10*365*K10/1000</f>
        <v>87600</v>
      </c>
      <c r="C18" s="869"/>
      <c r="D18" s="869"/>
      <c r="E18" s="869"/>
    </row>
    <row r="19" spans="1:5" ht="30" customHeight="1" x14ac:dyDescent="0.25">
      <c r="A19" s="238" t="s">
        <v>467</v>
      </c>
      <c r="B19" s="870">
        <f>L10*H24</f>
        <v>0</v>
      </c>
      <c r="C19" s="871"/>
      <c r="D19" s="871"/>
      <c r="E19" s="871"/>
    </row>
    <row r="20" spans="1:5" ht="30" customHeight="1" x14ac:dyDescent="0.25">
      <c r="A20" s="209" t="s">
        <v>8</v>
      </c>
      <c r="B20" s="845">
        <f>B18*J10</f>
        <v>21900</v>
      </c>
      <c r="C20" s="845"/>
      <c r="D20" s="845"/>
      <c r="E20" s="845"/>
    </row>
    <row r="21" spans="1:5" ht="30" customHeight="1" x14ac:dyDescent="0.25">
      <c r="A21" s="209" t="s">
        <v>9</v>
      </c>
      <c r="B21" s="845"/>
      <c r="C21" s="845"/>
      <c r="D21" s="845"/>
      <c r="E21" s="845"/>
    </row>
    <row r="22" spans="1:5" ht="30" customHeight="1" x14ac:dyDescent="0.25">
      <c r="A22" s="209" t="s">
        <v>465</v>
      </c>
      <c r="B22" s="846">
        <f>B16/(B20+B21)</f>
        <v>8.2191780821917817</v>
      </c>
      <c r="C22" s="846"/>
      <c r="D22" s="846"/>
      <c r="E22" s="846"/>
    </row>
    <row r="23" spans="1:5" ht="30" customHeight="1" x14ac:dyDescent="0.25">
      <c r="A23" s="209" t="s">
        <v>466</v>
      </c>
      <c r="B23" s="847">
        <f>(B16-B17)/(B20+B21)</f>
        <v>8.2191780821917817</v>
      </c>
      <c r="C23" s="847"/>
      <c r="D23" s="847"/>
      <c r="E23" s="847"/>
    </row>
    <row r="24" spans="1:5" ht="30" customHeight="1" x14ac:dyDescent="0.25">
      <c r="A24" s="211" t="s">
        <v>476</v>
      </c>
      <c r="B24" s="901">
        <f>B18/1000*L10</f>
        <v>10.2492</v>
      </c>
      <c r="C24" s="901"/>
      <c r="D24" s="901"/>
      <c r="E24" s="901"/>
    </row>
    <row r="25" spans="1:5" ht="30" customHeight="1" x14ac:dyDescent="0.25">
      <c r="A25" s="212" t="s">
        <v>463</v>
      </c>
      <c r="B25" s="881">
        <f>B24/'Objectifs CO2'!C12</f>
        <v>2.9703631137849391E-3</v>
      </c>
      <c r="C25" s="881"/>
      <c r="D25" s="881"/>
      <c r="E25" s="881"/>
    </row>
    <row r="26" spans="1:5" ht="30" customHeight="1" x14ac:dyDescent="0.25">
      <c r="A26" s="213" t="s">
        <v>464</v>
      </c>
      <c r="B26" s="881">
        <f>B24/'Objectifs CO2'!C8</f>
        <v>1.4851815568924696E-3</v>
      </c>
      <c r="C26" s="881"/>
      <c r="D26" s="881"/>
      <c r="E26" s="881"/>
    </row>
    <row r="27" spans="1:5" ht="30" customHeight="1" x14ac:dyDescent="0.25">
      <c r="A27" s="213" t="s">
        <v>24</v>
      </c>
      <c r="B27" s="853" t="s">
        <v>10</v>
      </c>
      <c r="C27" s="853"/>
      <c r="D27" s="853"/>
      <c r="E27" s="853"/>
    </row>
    <row r="28" spans="1:5" ht="30" customHeight="1" x14ac:dyDescent="0.25">
      <c r="A28" s="213" t="s">
        <v>418</v>
      </c>
      <c r="B28" s="938" t="s">
        <v>836</v>
      </c>
      <c r="C28" s="939"/>
      <c r="D28" s="939"/>
      <c r="E28" s="940"/>
    </row>
  </sheetData>
  <mergeCells count="28">
    <mergeCell ref="B25:E25"/>
    <mergeCell ref="B26:E26"/>
    <mergeCell ref="B27:E27"/>
    <mergeCell ref="B28:E28"/>
    <mergeCell ref="B20:E20"/>
    <mergeCell ref="B21:E21"/>
    <mergeCell ref="B22:E22"/>
    <mergeCell ref="B23:E23"/>
    <mergeCell ref="B24:E24"/>
    <mergeCell ref="B19:E19"/>
    <mergeCell ref="B8:E8"/>
    <mergeCell ref="B9:E9"/>
    <mergeCell ref="B10:E10"/>
    <mergeCell ref="B11:E11"/>
    <mergeCell ref="B12:E12"/>
    <mergeCell ref="B13:E13"/>
    <mergeCell ref="B14:E14"/>
    <mergeCell ref="B15:E15"/>
    <mergeCell ref="B16:E16"/>
    <mergeCell ref="B17:E17"/>
    <mergeCell ref="B18:E18"/>
    <mergeCell ref="B7:E7"/>
    <mergeCell ref="A2:E2"/>
    <mergeCell ref="G4:I4"/>
    <mergeCell ref="C5:D5"/>
    <mergeCell ref="G5:I5"/>
    <mergeCell ref="G6:I6"/>
    <mergeCell ref="C4:D4"/>
  </mergeCells>
  <conditionalFormatting sqref="E5">
    <cfRule type="containsText" dxfId="137" priority="1" operator="containsText" text="Terminé">
      <formula>NOT(ISERROR(SEARCH("Terminé",E5)))</formula>
    </cfRule>
    <cfRule type="containsText" dxfId="136" priority="2" operator="containsText" text="En cours">
      <formula>NOT(ISERROR(SEARCH("En cours",E5)))</formula>
    </cfRule>
    <cfRule type="containsText" dxfId="135" priority="3" operator="containsText" text="A faire">
      <formula>NOT(ISERROR(SEARCH("A faire",E5)))</formula>
    </cfRule>
  </conditionalFormatting>
  <hyperlinks>
    <hyperlink ref="G4:I4" location="'Objectifs CO2'!A1" display="Lien vers Objectifs CO2"/>
    <hyperlink ref="G5:I5" location="'Synthèse CO2'!A1" display="Lien synthèse CO2"/>
    <hyperlink ref="G6" location="CALENDRIER!A1" display="Lien vers CALENDRIER"/>
  </hyperlinks>
  <pageMargins left="0.7" right="0.7" top="0.75" bottom="0.75" header="0.3" footer="0.3"/>
  <pageSetup paperSize="9" scale="9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CO2'!$R$8:$R$15</xm:f>
          </x14:formula1>
          <xm:sqref>B5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CO2'!$P$8:$P$12</xm:f>
          </x14:formula1>
          <xm:sqref>E5</xm:sqref>
        </x14:dataValidation>
        <x14:dataValidation type="list" allowBlank="1" showInputMessage="1" showErrorMessage="1">
          <x14:formula1>
            <xm:f>'Objectifs CO2'!$U$3:$U$9</xm:f>
          </x14:formula1>
          <xm:sqref>C4:D4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102"/>
  <sheetViews>
    <sheetView view="pageBreakPreview" topLeftCell="AE1" zoomScale="160" zoomScaleNormal="100" zoomScaleSheetLayoutView="160" workbookViewId="0">
      <selection activeCell="B16" sqref="B16:E16"/>
    </sheetView>
  </sheetViews>
  <sheetFormatPr baseColWidth="10" defaultRowHeight="15" x14ac:dyDescent="0.25"/>
  <cols>
    <col min="1" max="1" width="10.5703125" style="784" customWidth="1"/>
    <col min="2" max="2" width="26.140625" style="80" customWidth="1"/>
    <col min="3" max="3" width="31.7109375" style="80" customWidth="1"/>
    <col min="4" max="4" width="14.7109375" style="80" customWidth="1"/>
    <col min="5" max="5" width="12.7109375" style="80" bestFit="1" customWidth="1"/>
    <col min="6" max="6" width="12.7109375" style="80" customWidth="1"/>
    <col min="7" max="8" width="16.85546875" style="109" customWidth="1"/>
    <col min="9" max="9" width="12.42578125" style="109" bestFit="1" customWidth="1"/>
    <col min="10" max="10" width="12.42578125" style="109" customWidth="1"/>
    <col min="11" max="11" width="11.28515625" style="109" customWidth="1"/>
    <col min="12" max="12" width="11.5703125" style="80" bestFit="1" customWidth="1"/>
    <col min="13" max="13" width="17.42578125" style="80" customWidth="1"/>
    <col min="14" max="14" width="5.85546875" style="80" customWidth="1"/>
    <col min="15" max="15" width="17.42578125" style="80" bestFit="1" customWidth="1"/>
    <col min="16" max="16" width="17.42578125" style="80" customWidth="1"/>
    <col min="17" max="17" width="17.42578125" style="658" customWidth="1"/>
    <col min="18" max="18" width="15.42578125" style="80" bestFit="1" customWidth="1"/>
    <col min="19" max="20" width="11.42578125" style="80"/>
    <col min="21" max="21" width="15.42578125" style="80" bestFit="1" customWidth="1"/>
    <col min="22" max="22" width="18.28515625" style="80" bestFit="1" customWidth="1"/>
    <col min="23" max="23" width="11.42578125" style="80"/>
    <col min="24" max="24" width="17.5703125" style="80" bestFit="1" customWidth="1"/>
    <col min="25" max="25" width="11.42578125" style="80"/>
    <col min="26" max="26" width="13.85546875" style="658" bestFit="1" customWidth="1"/>
    <col min="27" max="28" width="13.140625" style="658" customWidth="1"/>
    <col min="29" max="29" width="13.85546875" style="658" bestFit="1" customWidth="1"/>
    <col min="30" max="30" width="16" style="658" bestFit="1" customWidth="1"/>
    <col min="31" max="31" width="13.85546875" style="658" bestFit="1" customWidth="1"/>
    <col min="32" max="32" width="11.42578125" style="658"/>
    <col min="33" max="33" width="12.42578125" style="658" bestFit="1" customWidth="1"/>
    <col min="34" max="38" width="11.5703125" style="658" bestFit="1" customWidth="1"/>
    <col min="39" max="39" width="11.42578125" style="658"/>
    <col min="40" max="46" width="15.42578125" style="658" customWidth="1"/>
    <col min="47" max="47" width="11.42578125" style="658"/>
    <col min="48" max="48" width="12.42578125" style="658" bestFit="1" customWidth="1"/>
    <col min="49" max="54" width="11.5703125" style="658" bestFit="1" customWidth="1"/>
    <col min="55" max="55" width="11.42578125" style="658"/>
    <col min="56" max="56" width="12.42578125" style="658" bestFit="1" customWidth="1"/>
    <col min="57" max="62" width="11.5703125" style="658" bestFit="1" customWidth="1"/>
    <col min="63" max="63" width="11.42578125" style="658"/>
    <col min="64" max="64" width="12.42578125" style="658" bestFit="1" customWidth="1"/>
    <col min="65" max="70" width="11.5703125" style="658" bestFit="1" customWidth="1"/>
    <col min="71" max="16384" width="11.42578125" style="80"/>
  </cols>
  <sheetData>
    <row r="1" spans="1:70" s="244" customFormat="1" ht="74.25" customHeight="1" x14ac:dyDescent="0.25">
      <c r="A1" s="260" t="s">
        <v>25</v>
      </c>
      <c r="B1" s="260" t="s">
        <v>1</v>
      </c>
      <c r="C1" s="260" t="s">
        <v>0</v>
      </c>
      <c r="D1" s="260" t="s">
        <v>26</v>
      </c>
      <c r="E1" s="260" t="s">
        <v>16</v>
      </c>
      <c r="F1" s="260" t="s">
        <v>782</v>
      </c>
      <c r="G1" s="261" t="s">
        <v>27</v>
      </c>
      <c r="H1" s="261" t="s">
        <v>783</v>
      </c>
      <c r="I1" s="261" t="s">
        <v>7</v>
      </c>
      <c r="J1" s="261" t="s">
        <v>8</v>
      </c>
      <c r="K1" s="261" t="s">
        <v>28</v>
      </c>
      <c r="L1" s="260" t="s">
        <v>29</v>
      </c>
      <c r="M1" s="260" t="s">
        <v>74</v>
      </c>
      <c r="N1" s="260"/>
      <c r="O1" s="262" t="s">
        <v>18</v>
      </c>
      <c r="P1" s="262" t="s">
        <v>5</v>
      </c>
      <c r="Q1" s="651" t="s">
        <v>920</v>
      </c>
      <c r="R1" s="263" t="s">
        <v>565</v>
      </c>
      <c r="S1" s="263" t="s">
        <v>566</v>
      </c>
      <c r="T1" s="263" t="s">
        <v>721</v>
      </c>
      <c r="U1" s="263" t="s">
        <v>567</v>
      </c>
      <c r="V1" s="263" t="s">
        <v>568</v>
      </c>
      <c r="W1" s="263" t="s">
        <v>569</v>
      </c>
      <c r="X1" s="263" t="s">
        <v>917</v>
      </c>
      <c r="Z1" s="263" t="s">
        <v>506</v>
      </c>
      <c r="AA1" s="263" t="s">
        <v>507</v>
      </c>
      <c r="AB1" s="263" t="s">
        <v>508</v>
      </c>
      <c r="AC1" s="263" t="s">
        <v>509</v>
      </c>
      <c r="AD1" s="263" t="s">
        <v>511</v>
      </c>
      <c r="AE1" s="263" t="s">
        <v>510</v>
      </c>
      <c r="AF1" s="264"/>
      <c r="AG1" s="263" t="s">
        <v>506</v>
      </c>
      <c r="AH1" s="263" t="s">
        <v>507</v>
      </c>
      <c r="AI1" s="263" t="s">
        <v>508</v>
      </c>
      <c r="AJ1" s="263" t="s">
        <v>509</v>
      </c>
      <c r="AK1" s="263" t="s">
        <v>511</v>
      </c>
      <c r="AL1" s="263" t="s">
        <v>510</v>
      </c>
      <c r="AM1" s="264"/>
      <c r="AN1" s="263" t="s">
        <v>922</v>
      </c>
      <c r="AO1" s="263" t="s">
        <v>484</v>
      </c>
      <c r="AP1" s="263" t="s">
        <v>485</v>
      </c>
      <c r="AQ1" s="263" t="s">
        <v>486</v>
      </c>
      <c r="AR1" s="263" t="s">
        <v>487</v>
      </c>
      <c r="AS1" s="263" t="s">
        <v>488</v>
      </c>
      <c r="AT1" s="263" t="s">
        <v>923</v>
      </c>
      <c r="AU1" s="264"/>
      <c r="AV1" s="263" t="s">
        <v>490</v>
      </c>
      <c r="AW1" s="263" t="s">
        <v>491</v>
      </c>
      <c r="AX1" s="263" t="s">
        <v>492</v>
      </c>
      <c r="AY1" s="263" t="s">
        <v>493</v>
      </c>
      <c r="AZ1" s="263" t="s">
        <v>494</v>
      </c>
      <c r="BA1" s="263" t="s">
        <v>495</v>
      </c>
      <c r="BB1" s="263" t="s">
        <v>924</v>
      </c>
      <c r="BC1" s="264"/>
      <c r="BD1" s="263" t="s">
        <v>497</v>
      </c>
      <c r="BE1" s="263" t="s">
        <v>925</v>
      </c>
      <c r="BF1" s="263" t="s">
        <v>926</v>
      </c>
      <c r="BG1" s="263" t="s">
        <v>927</v>
      </c>
      <c r="BH1" s="263" t="s">
        <v>928</v>
      </c>
      <c r="BI1" s="263" t="s">
        <v>929</v>
      </c>
      <c r="BJ1" s="263" t="s">
        <v>930</v>
      </c>
      <c r="BK1" s="264"/>
      <c r="BL1" s="263" t="s">
        <v>499</v>
      </c>
      <c r="BM1" s="263" t="s">
        <v>500</v>
      </c>
      <c r="BN1" s="263" t="s">
        <v>501</v>
      </c>
      <c r="BO1" s="263" t="s">
        <v>502</v>
      </c>
      <c r="BP1" s="263" t="s">
        <v>503</v>
      </c>
      <c r="BQ1" s="263" t="s">
        <v>504</v>
      </c>
      <c r="BR1" s="263" t="s">
        <v>505</v>
      </c>
    </row>
    <row r="2" spans="1:70" s="417" customFormat="1" x14ac:dyDescent="0.25">
      <c r="A2" s="768" t="s">
        <v>181</v>
      </c>
      <c r="B2" s="409" t="str">
        <f>'ADO-1'!$B$7</f>
        <v>PAED</v>
      </c>
      <c r="C2" s="409" t="str">
        <f>'ADO-1'!B8</f>
        <v>Engagement d'un Eco-passeur</v>
      </c>
      <c r="D2" s="409" t="str">
        <f>'ADO-1'!$C$4</f>
        <v>Territoire</v>
      </c>
      <c r="E2" s="409" t="str">
        <f>'ADO-1'!$B$11</f>
        <v>AC HABAY</v>
      </c>
      <c r="F2" s="409" t="str">
        <f>'ADO-1'!$B$5</f>
        <v>Fonds propres</v>
      </c>
      <c r="G2" s="410">
        <f>'ADO-1'!$B$16</f>
        <v>63000</v>
      </c>
      <c r="H2" s="409" t="str">
        <f>'ADO-1'!$B$6</f>
        <v>Subs RW</v>
      </c>
      <c r="I2" s="410">
        <f>'ADO-1'!$B$17</f>
        <v>0</v>
      </c>
      <c r="J2" s="410">
        <f>'ADO-1'!$B$20</f>
        <v>1</v>
      </c>
      <c r="K2" s="410">
        <f>'ADO-1'!$B$21</f>
        <v>0</v>
      </c>
      <c r="L2" s="419">
        <f>'ADO-1'!$B$23</f>
        <v>63000</v>
      </c>
      <c r="M2" s="420">
        <f>'ADO-1'!$B$18/1000</f>
        <v>0</v>
      </c>
      <c r="N2" s="413">
        <f>IF(G2=0,0,M2/(G2-I2)*1000)</f>
        <v>0</v>
      </c>
      <c r="O2" s="414" t="str">
        <f>'ADO-1'!$E$5</f>
        <v>Terminé</v>
      </c>
      <c r="P2" s="415">
        <f>'ADO-1'!$B$15</f>
        <v>2015</v>
      </c>
      <c r="Q2" s="247">
        <f>IF(O2="Terminé",M2,0)</f>
        <v>0</v>
      </c>
      <c r="R2" s="416">
        <f>IF(O2="Terminé",M2,0)</f>
        <v>0</v>
      </c>
      <c r="S2" s="416">
        <f>IF(D2="Agriculture",R2,0)</f>
        <v>0</v>
      </c>
      <c r="T2" s="416">
        <f>IF(D2="Industrie", R2,0)</f>
        <v>0</v>
      </c>
      <c r="U2" s="416">
        <f>IF(D2="Logement", R2,0)</f>
        <v>0</v>
      </c>
      <c r="V2" s="416">
        <f>IF(D2="Tertiaire",R2,0)</f>
        <v>0</v>
      </c>
      <c r="W2" s="416">
        <f>IF(D2="Transport",R2,0)</f>
        <v>0</v>
      </c>
      <c r="X2" s="416">
        <f>IF(D2="Communal",R2,0)</f>
        <v>0</v>
      </c>
      <c r="Z2" s="416">
        <f>IF((O2="A faire")*AND(E2="Agriculture"),G2,0)</f>
        <v>0</v>
      </c>
      <c r="AA2" s="416">
        <f>IF((O2="A faire")*AND(E2="Industrie"),G2,0)</f>
        <v>0</v>
      </c>
      <c r="AB2" s="416">
        <f>IF((O2="A faire")*AND(E2="Citoyen"),G2,0)</f>
        <v>0</v>
      </c>
      <c r="AC2" s="416">
        <f>IF((O2="A faire")*AND(E2="IDELUX"),G2,0)</f>
        <v>0</v>
      </c>
      <c r="AD2" s="416">
        <f>IF((O2="A faire")*AND(E2="AC HABAY"),G2,0)</f>
        <v>0</v>
      </c>
      <c r="AE2" s="416">
        <f>IF((O2="A faire")*AND(E2="Tertiaire"),G2,0)</f>
        <v>0</v>
      </c>
      <c r="AG2" s="416">
        <f>IF((O2="A faire")*AND(E2="Agriculture"),I2,0)</f>
        <v>0</v>
      </c>
      <c r="AH2" s="416">
        <f>IF((O2="A faire")*AND(E2="Industrie"),I2,0)</f>
        <v>0</v>
      </c>
      <c r="AI2" s="416">
        <f>IF((O2="A faire")*AND(E2="Citoyen"),I2,0)</f>
        <v>0</v>
      </c>
      <c r="AJ2" s="416">
        <f>IF((O2="A faire")*AND(E2="IDELUX"),I2,0)</f>
        <v>0</v>
      </c>
      <c r="AK2" s="416">
        <f>IF((O2="A faire")*AND(E2="AC HABAY"),I2,0)</f>
        <v>0</v>
      </c>
      <c r="AL2" s="416">
        <f>IF((O2="A faire")*AND(E2="Tertiaire"),I2,0)</f>
        <v>0</v>
      </c>
      <c r="AM2" s="244"/>
      <c r="AN2" s="416">
        <f>IF((O2="A faire")*AND(D2="Territoire"),G2,0)</f>
        <v>0</v>
      </c>
      <c r="AO2" s="416">
        <f>IF((O2="A faire")*AND(D2="Agriculture"),G2,0)</f>
        <v>0</v>
      </c>
      <c r="AP2" s="416">
        <f>IF((O2="A faire")*AND(D2="Industrie"),G2,0)</f>
        <v>0</v>
      </c>
      <c r="AQ2" s="416">
        <f>IF((O2="A faire")*AND(D2="Logement"),G2,0)</f>
        <v>0</v>
      </c>
      <c r="AR2" s="416">
        <f>IF((O2="A faire")*AND(D2="Tertiaire"),G2,0)</f>
        <v>0</v>
      </c>
      <c r="AS2" s="416">
        <f>IF((O2="A faire")*AND(D2="Transport"),G2,0)</f>
        <v>0</v>
      </c>
      <c r="AT2" s="416">
        <f>IF((O2="A faire")*AND(D2="Communal"),G2,0)</f>
        <v>0</v>
      </c>
      <c r="AV2" s="416">
        <f>IF((O2="A faire")*AND(D2="Territoire"),I2,0)</f>
        <v>0</v>
      </c>
      <c r="AW2" s="416">
        <f>IF((O2="A faire")*AND(D2="Agriculture"),I2,0)</f>
        <v>0</v>
      </c>
      <c r="AX2" s="416">
        <f>IF((O2="A faire")*AND(D2="Industrie"),I2,0)</f>
        <v>0</v>
      </c>
      <c r="AY2" s="416">
        <f>IF((O2="A faire")*AND(D2="Logement"),I2,0)</f>
        <v>0</v>
      </c>
      <c r="AZ2" s="416">
        <f>IF((O2="A faire")*AND(D2="Tertiaire"),I2,0)</f>
        <v>0</v>
      </c>
      <c r="BA2" s="416">
        <f>IF((O2="A faire")*AND(D2="Transport"),I2,0)</f>
        <v>0</v>
      </c>
      <c r="BB2" s="416">
        <f>IF((O2="A faire")*AND(D2="Communal"),I2,0)</f>
        <v>0</v>
      </c>
      <c r="BC2" s="244"/>
      <c r="BD2" s="416">
        <f>IF((O2="A faire")*AND(D2="Territoire"),J2,0)</f>
        <v>0</v>
      </c>
      <c r="BE2" s="416">
        <f>IF((O2="A faire")*AND(D2="Agriculture"),J2,0)</f>
        <v>0</v>
      </c>
      <c r="BF2" s="416">
        <f>IF((O2="A faire")*AND(D2="Industrie"),J2,0)</f>
        <v>0</v>
      </c>
      <c r="BG2" s="416">
        <f>IF((O2="A faire")*AND(D2="Logement"),J2,0)</f>
        <v>0</v>
      </c>
      <c r="BH2" s="416">
        <f>IF((O2="A faire")*AND(D2="Tertiaire"),2,0)</f>
        <v>0</v>
      </c>
      <c r="BI2" s="416">
        <f>IF((O2="A faire")*AND(D2="Transport"),J2,0)</f>
        <v>0</v>
      </c>
      <c r="BJ2" s="416">
        <f>IF((O2="A faire")*AND(D2="Communal"),J2,0)</f>
        <v>0</v>
      </c>
      <c r="BL2" s="416">
        <f>IF((O2="A faire")*AND(D2="Territoire"),K2,0)</f>
        <v>0</v>
      </c>
      <c r="BM2" s="416">
        <f>IF((O2="A faire")*AND(D2="Agriculture"),K2,0)</f>
        <v>0</v>
      </c>
      <c r="BN2" s="416">
        <f>IF((O2="A faire")*AND(D2="Industrie"),K2,0)</f>
        <v>0</v>
      </c>
      <c r="BO2" s="416">
        <f>IF((O2="A faire")*AND(D2="Logement"),K2,0)</f>
        <v>0</v>
      </c>
      <c r="BP2" s="416">
        <f>IF((O2="A faire")*AND(D2="Tertiaire"),K2,0)</f>
        <v>0</v>
      </c>
      <c r="BQ2" s="416">
        <f>IF((O2="A faire")*AND(D2="Transport"),K2,0)</f>
        <v>0</v>
      </c>
      <c r="BR2" s="416">
        <f>IF((O2="A faire")*AND(D2="Communal"),K2,0)</f>
        <v>0</v>
      </c>
    </row>
    <row r="3" spans="1:70" s="417" customFormat="1" x14ac:dyDescent="0.25">
      <c r="A3" s="768" t="s">
        <v>182</v>
      </c>
      <c r="B3" s="409" t="str">
        <f>'ADO-2'!$B$7</f>
        <v>Formation et Information</v>
      </c>
      <c r="C3" s="409" t="str">
        <f>'ADO-2'!B8</f>
        <v>Information isolation des bâtiments</v>
      </c>
      <c r="D3" s="409" t="str">
        <f>'ADO-2'!$C$4</f>
        <v>Territoire</v>
      </c>
      <c r="E3" s="409" t="str">
        <f>'ADO-2'!$B$11</f>
        <v>AC HABAY</v>
      </c>
      <c r="F3" s="409" t="str">
        <f>'ADO-2'!$B$5</f>
        <v>Pas de financement</v>
      </c>
      <c r="G3" s="410">
        <f>'ADO-2'!$B$16</f>
        <v>0</v>
      </c>
      <c r="H3" s="409" t="str">
        <f>'ADO-2'!$B$6</f>
        <v>Pas de subside</v>
      </c>
      <c r="I3" s="410">
        <f>'ADO-2'!$B$17</f>
        <v>0</v>
      </c>
      <c r="J3" s="410">
        <f>'ADO-2'!$B$20</f>
        <v>1</v>
      </c>
      <c r="K3" s="410">
        <f>'ADO-2'!$B$21</f>
        <v>0</v>
      </c>
      <c r="L3" s="419">
        <f>'ADO-2'!$B$23</f>
        <v>0</v>
      </c>
      <c r="M3" s="420">
        <f>'ADO-2'!$B$18/1000</f>
        <v>0</v>
      </c>
      <c r="N3" s="413">
        <f>IF(G3=0,0,M3/(G3-I3)*1000)</f>
        <v>0</v>
      </c>
      <c r="O3" s="414" t="str">
        <f>'ADO-2'!$E$5</f>
        <v>En cours</v>
      </c>
      <c r="P3" s="421">
        <f>'ADO-2'!$B$15</f>
        <v>2017</v>
      </c>
      <c r="Q3" s="247">
        <f t="shared" ref="Q3:Q90" si="0">IF(O3="Terminé",M3,0)</f>
        <v>0</v>
      </c>
      <c r="R3" s="416">
        <f>IF(O3="Terminé",M3,0)</f>
        <v>0</v>
      </c>
      <c r="S3" s="416">
        <f>IF(D3="Agriculture",R3,0)</f>
        <v>0</v>
      </c>
      <c r="T3" s="416">
        <f>IF(D3="Industrie", R3,0)</f>
        <v>0</v>
      </c>
      <c r="U3" s="416">
        <f>IF(D3="Logement", R3,0)</f>
        <v>0</v>
      </c>
      <c r="V3" s="416">
        <f>IF(D3="Tertiaire",R3,0)</f>
        <v>0</v>
      </c>
      <c r="W3" s="416">
        <f>IF(D3="Transport",R3,0)</f>
        <v>0</v>
      </c>
      <c r="X3" s="416">
        <f>IF(D3="Communal",R3,0)</f>
        <v>0</v>
      </c>
      <c r="Z3" s="416">
        <f t="shared" ref="Z3:Z90" si="1">IF((O3="A faire")*AND(E3="Agriculture"),G3,0)</f>
        <v>0</v>
      </c>
      <c r="AA3" s="416">
        <f t="shared" ref="AA3:AA90" si="2">IF((O3="A faire")*AND(E3="Industrie"),G3,0)</f>
        <v>0</v>
      </c>
      <c r="AB3" s="416">
        <f t="shared" ref="AB3:AB90" si="3">IF((O3="A faire")*AND(E3="Citoyen"),G3,0)</f>
        <v>0</v>
      </c>
      <c r="AC3" s="416">
        <f t="shared" ref="AC3:AC90" si="4">IF((O3="A faire")*AND(E3="IDELUX"),G3,0)</f>
        <v>0</v>
      </c>
      <c r="AD3" s="416">
        <f t="shared" ref="AD3:AD69" si="5">IF((O3="A faire")*AND(E3="AC HABAY"),G3,0)</f>
        <v>0</v>
      </c>
      <c r="AE3" s="416">
        <f t="shared" ref="AE3:AE90" si="6">IF((O3="A faire")*AND(E3="Tertiaire"),G3,0)</f>
        <v>0</v>
      </c>
      <c r="AG3" s="416">
        <f t="shared" ref="AG3:AG90" si="7">IF((O3="A faire")*AND(E3="Agriculture"),I3,0)</f>
        <v>0</v>
      </c>
      <c r="AH3" s="416">
        <f t="shared" ref="AH3:AH90" si="8">IF((O3="A faire")*AND(E3="Industrie"),I3,0)</f>
        <v>0</v>
      </c>
      <c r="AI3" s="416">
        <f t="shared" ref="AI3:AI90" si="9">IF((O3="A faire")*AND(E3="Citoyen"),I3,0)</f>
        <v>0</v>
      </c>
      <c r="AJ3" s="416">
        <f t="shared" ref="AJ3:AJ90" si="10">IF((O3="A faire")*AND(E3="IDELUX"),I3,0)</f>
        <v>0</v>
      </c>
      <c r="AK3" s="416">
        <f t="shared" ref="AK3:AK69" si="11">IF((O3="A faire")*AND(E3="AC HABAY"),I3,0)</f>
        <v>0</v>
      </c>
      <c r="AL3" s="416">
        <f t="shared" ref="AL3:AL90" si="12">IF((O3="A faire")*AND(E3="Tertiaire"),I3,0)</f>
        <v>0</v>
      </c>
      <c r="AM3" s="244"/>
      <c r="AN3" s="416">
        <f t="shared" ref="AN3:AN90" si="13">IF((O3="A faire")*AND(D3="Territoire"),G3,0)</f>
        <v>0</v>
      </c>
      <c r="AO3" s="416">
        <f t="shared" ref="AO3:AO90" si="14">IF((O3="A faire")*AND(D3="Agriculture"),G3,0)</f>
        <v>0</v>
      </c>
      <c r="AP3" s="416">
        <f t="shared" ref="AP3:AP90" si="15">IF((O3="A faire")*AND(D3="Industrie"),G3,0)</f>
        <v>0</v>
      </c>
      <c r="AQ3" s="416">
        <f t="shared" ref="AQ3:AQ90" si="16">IF((O3="A faire")*AND(D3="Logement"),G3,0)</f>
        <v>0</v>
      </c>
      <c r="AR3" s="416">
        <f t="shared" ref="AR3:AR90" si="17">IF((O3="A faire")*AND(D3="Tertiaire"),G3,0)</f>
        <v>0</v>
      </c>
      <c r="AS3" s="416">
        <f t="shared" ref="AS3:AS90" si="18">IF((O3="A faire")*AND(D3="Transport"),G3,0)</f>
        <v>0</v>
      </c>
      <c r="AT3" s="416">
        <f t="shared" ref="AT3:AT90" si="19">IF((O3="A faire")*AND(D3="Communal"),G3,0)</f>
        <v>0</v>
      </c>
      <c r="AV3" s="416">
        <f t="shared" ref="AV3:AV90" si="20">IF((O3="A faire")*AND(D3="Territoire"),I3,0)</f>
        <v>0</v>
      </c>
      <c r="AW3" s="416">
        <f t="shared" ref="AW3:AW90" si="21">IF((O3="A faire")*AND(D3="Agriculture"),I3,0)</f>
        <v>0</v>
      </c>
      <c r="AX3" s="416">
        <f t="shared" ref="AX3:AX90" si="22">IF((O3="A faire")*AND(D3="Industrie"),I3,0)</f>
        <v>0</v>
      </c>
      <c r="AY3" s="416">
        <f t="shared" ref="AY3:AY90" si="23">IF((O3="A faire")*AND(D3="Logement"),I3,0)</f>
        <v>0</v>
      </c>
      <c r="AZ3" s="416">
        <f t="shared" ref="AZ3:AZ90" si="24">IF((O3="A faire")*AND(D3="Tertiaire"),I3,0)</f>
        <v>0</v>
      </c>
      <c r="BA3" s="416">
        <f t="shared" ref="BA3:BA90" si="25">IF((O3="A faire")*AND(D3="Transport"),I3,0)</f>
        <v>0</v>
      </c>
      <c r="BB3" s="416">
        <f t="shared" ref="BB3:BB90" si="26">IF((O3="A faire")*AND(D3="Communal"),I3,0)</f>
        <v>0</v>
      </c>
      <c r="BC3" s="244"/>
      <c r="BD3" s="416">
        <f t="shared" ref="BD3:BD90" si="27">IF((O3="A faire")*AND(D3="Territoire"),J3,0)</f>
        <v>0</v>
      </c>
      <c r="BE3" s="416">
        <f t="shared" ref="BE3:BE90" si="28">IF((O3="A faire")*AND(D3="Agriculture"),J3,0)</f>
        <v>0</v>
      </c>
      <c r="BF3" s="416">
        <f t="shared" ref="BF3:BF90" si="29">IF((O3="A faire")*AND(D3="Industrie"),J3,0)</f>
        <v>0</v>
      </c>
      <c r="BG3" s="416">
        <f t="shared" ref="BG3:BG90" si="30">IF((O3="A faire")*AND(D3="Logement"),J3,0)</f>
        <v>0</v>
      </c>
      <c r="BH3" s="416">
        <f t="shared" ref="BH3:BH90" si="31">IF((O3="A faire")*AND(D3="Tertiaire"),2,0)</f>
        <v>0</v>
      </c>
      <c r="BI3" s="416">
        <f t="shared" ref="BI3:BI90" si="32">IF((O3="A faire")*AND(D3="Transport"),J3,0)</f>
        <v>0</v>
      </c>
      <c r="BJ3" s="416">
        <f t="shared" ref="BJ3:BJ90" si="33">IF((O3="A faire")*AND(D3="Communal"),J3,0)</f>
        <v>0</v>
      </c>
      <c r="BL3" s="416">
        <f t="shared" ref="BL3:BL90" si="34">IF((O3="A faire")*AND(D3="Territoire"),K3,0)</f>
        <v>0</v>
      </c>
      <c r="BM3" s="416">
        <f t="shared" ref="BM3:BM90" si="35">IF((O3="A faire")*AND(D3="Agriculture"),K3,0)</f>
        <v>0</v>
      </c>
      <c r="BN3" s="416">
        <f t="shared" ref="BN3:BN90" si="36">IF((O3="A faire")*AND(D3="Industrie"),K3,0)</f>
        <v>0</v>
      </c>
      <c r="BO3" s="416">
        <f t="shared" ref="BO3:BO90" si="37">IF((O3="A faire")*AND(D3="Logement"),K3,0)</f>
        <v>0</v>
      </c>
      <c r="BP3" s="416">
        <f t="shared" ref="BP3:BP90" si="38">IF((O3="A faire")*AND(D3="Tertiaire"),K3,0)</f>
        <v>0</v>
      </c>
      <c r="BQ3" s="416">
        <f t="shared" ref="BQ3:BQ90" si="39">IF((O3="A faire")*AND(D3="Transport"),K3,0)</f>
        <v>0</v>
      </c>
      <c r="BR3" s="416">
        <f t="shared" ref="BR3:BR90" si="40">IF((O3="A faire")*AND(D3="Communal"),K3,0)</f>
        <v>0</v>
      </c>
    </row>
    <row r="4" spans="1:70" s="417" customFormat="1" x14ac:dyDescent="0.25">
      <c r="A4" s="768" t="s">
        <v>183</v>
      </c>
      <c r="B4" s="409" t="str">
        <f>'ADO-3'!$B$7</f>
        <v>Formation et Information</v>
      </c>
      <c r="C4" s="409" t="str">
        <f>'ADO-3'!$B$8</f>
        <v>Formation Eco Guide - Energie</v>
      </c>
      <c r="D4" s="409" t="str">
        <f>'ADO-3'!$C$4</f>
        <v>Communal</v>
      </c>
      <c r="E4" s="409" t="str">
        <f>'ADO-3'!$B$11</f>
        <v>AC HABAY</v>
      </c>
      <c r="F4" s="409" t="str">
        <f>'ADO-3'!$B$5</f>
        <v>Fonds propres</v>
      </c>
      <c r="G4" s="410">
        <f>'ADO-3'!$B$16</f>
        <v>1000</v>
      </c>
      <c r="H4" s="409" t="str">
        <f>'ADO-3'!$B$6</f>
        <v>Pas de subside</v>
      </c>
      <c r="I4" s="410">
        <f>'ADO-3'!$B$17</f>
        <v>0</v>
      </c>
      <c r="J4" s="410">
        <f>'ADO-3'!$B$20</f>
        <v>1</v>
      </c>
      <c r="K4" s="410">
        <f>'ADO-3'!$B$21</f>
        <v>0</v>
      </c>
      <c r="L4" s="419">
        <f>'ADO-3'!$B$23</f>
        <v>1000</v>
      </c>
      <c r="M4" s="420">
        <f>'ADO-3'!$B$18/1000</f>
        <v>0</v>
      </c>
      <c r="N4" s="413"/>
      <c r="O4" s="414" t="str">
        <f>'ADO-3'!$E$5</f>
        <v>A faire</v>
      </c>
      <c r="P4" s="421">
        <f>'ADO-3'!$B$15</f>
        <v>2020</v>
      </c>
      <c r="Q4" s="247">
        <f t="shared" si="0"/>
        <v>0</v>
      </c>
      <c r="R4" s="416">
        <f t="shared" ref="R4:R66" si="41">IF(O4="Terminé",M4,0)</f>
        <v>0</v>
      </c>
      <c r="S4" s="416">
        <f t="shared" ref="S4:S66" si="42">IF(D4="Agriculture",R4,0)</f>
        <v>0</v>
      </c>
      <c r="T4" s="416">
        <f t="shared" ref="T4:T66" si="43">IF(D4="Industrie", R4,0)</f>
        <v>0</v>
      </c>
      <c r="U4" s="416">
        <f t="shared" ref="U4:U66" si="44">IF(D4="Logement", R4,0)</f>
        <v>0</v>
      </c>
      <c r="V4" s="416">
        <f t="shared" ref="V4:V66" si="45">IF(D4="Tertiaire",R4,0)</f>
        <v>0</v>
      </c>
      <c r="W4" s="416">
        <f t="shared" ref="W4:W66" si="46">IF(D4="Transport",R4,0)</f>
        <v>0</v>
      </c>
      <c r="X4" s="416">
        <f t="shared" ref="X4:X66" si="47">IF(D4="Communal",R4,0)</f>
        <v>0</v>
      </c>
      <c r="Z4" s="416">
        <f t="shared" si="1"/>
        <v>0</v>
      </c>
      <c r="AA4" s="416">
        <f t="shared" si="2"/>
        <v>0</v>
      </c>
      <c r="AB4" s="416">
        <f t="shared" si="3"/>
        <v>0</v>
      </c>
      <c r="AC4" s="416">
        <f t="shared" si="4"/>
        <v>0</v>
      </c>
      <c r="AD4" s="416">
        <f t="shared" si="5"/>
        <v>1000</v>
      </c>
      <c r="AE4" s="416">
        <f t="shared" si="6"/>
        <v>0</v>
      </c>
      <c r="AG4" s="416">
        <f t="shared" si="7"/>
        <v>0</v>
      </c>
      <c r="AH4" s="416">
        <f t="shared" si="8"/>
        <v>0</v>
      </c>
      <c r="AI4" s="416">
        <f t="shared" si="9"/>
        <v>0</v>
      </c>
      <c r="AJ4" s="416">
        <f t="shared" si="10"/>
        <v>0</v>
      </c>
      <c r="AK4" s="416">
        <f t="shared" si="11"/>
        <v>0</v>
      </c>
      <c r="AL4" s="416">
        <f t="shared" si="12"/>
        <v>0</v>
      </c>
      <c r="AM4" s="244"/>
      <c r="AN4" s="416">
        <f t="shared" si="13"/>
        <v>0</v>
      </c>
      <c r="AO4" s="416">
        <f t="shared" si="14"/>
        <v>0</v>
      </c>
      <c r="AP4" s="416">
        <f t="shared" si="15"/>
        <v>0</v>
      </c>
      <c r="AQ4" s="416">
        <f t="shared" si="16"/>
        <v>0</v>
      </c>
      <c r="AR4" s="416">
        <f t="shared" si="17"/>
        <v>0</v>
      </c>
      <c r="AS4" s="416">
        <f t="shared" si="18"/>
        <v>0</v>
      </c>
      <c r="AT4" s="416">
        <f t="shared" si="19"/>
        <v>1000</v>
      </c>
      <c r="AV4" s="416">
        <f t="shared" si="20"/>
        <v>0</v>
      </c>
      <c r="AW4" s="416">
        <f t="shared" si="21"/>
        <v>0</v>
      </c>
      <c r="AX4" s="416">
        <f t="shared" si="22"/>
        <v>0</v>
      </c>
      <c r="AY4" s="416">
        <f t="shared" si="23"/>
        <v>0</v>
      </c>
      <c r="AZ4" s="416">
        <f t="shared" si="24"/>
        <v>0</v>
      </c>
      <c r="BA4" s="416">
        <f t="shared" si="25"/>
        <v>0</v>
      </c>
      <c r="BB4" s="416">
        <f t="shared" si="26"/>
        <v>0</v>
      </c>
      <c r="BC4" s="244"/>
      <c r="BD4" s="416">
        <f t="shared" si="27"/>
        <v>0</v>
      </c>
      <c r="BE4" s="416">
        <f t="shared" si="28"/>
        <v>0</v>
      </c>
      <c r="BF4" s="416">
        <f t="shared" si="29"/>
        <v>0</v>
      </c>
      <c r="BG4" s="416">
        <f t="shared" si="30"/>
        <v>0</v>
      </c>
      <c r="BH4" s="416">
        <f t="shared" si="31"/>
        <v>0</v>
      </c>
      <c r="BI4" s="416">
        <f t="shared" si="32"/>
        <v>0</v>
      </c>
      <c r="BJ4" s="416">
        <f t="shared" si="33"/>
        <v>1</v>
      </c>
      <c r="BL4" s="416">
        <f t="shared" si="34"/>
        <v>0</v>
      </c>
      <c r="BM4" s="416">
        <f t="shared" si="35"/>
        <v>0</v>
      </c>
      <c r="BN4" s="416">
        <f t="shared" si="36"/>
        <v>0</v>
      </c>
      <c r="BO4" s="416">
        <f t="shared" si="37"/>
        <v>0</v>
      </c>
      <c r="BP4" s="416">
        <f t="shared" si="38"/>
        <v>0</v>
      </c>
      <c r="BQ4" s="416">
        <f t="shared" si="39"/>
        <v>0</v>
      </c>
      <c r="BR4" s="416">
        <f t="shared" si="40"/>
        <v>0</v>
      </c>
    </row>
    <row r="5" spans="1:70" s="417" customFormat="1" x14ac:dyDescent="0.25">
      <c r="A5" s="768" t="s">
        <v>190</v>
      </c>
      <c r="B5" s="409" t="str">
        <f>'ADO-4'!$B$7</f>
        <v>PAED</v>
      </c>
      <c r="C5" s="409" t="str">
        <f>'ADO-4'!$B$8</f>
        <v>Création d'un comité de pilotage</v>
      </c>
      <c r="D5" s="409" t="str">
        <f>'ADO-4'!$C$4</f>
        <v>Territoire</v>
      </c>
      <c r="E5" s="409" t="str">
        <f>'ADO-4'!$B$11</f>
        <v>AC HABAY</v>
      </c>
      <c r="F5" s="409" t="str">
        <f>'ADO-4'!$B$5</f>
        <v>Fonds propres</v>
      </c>
      <c r="G5" s="410">
        <f>'ADO-4'!$B$16</f>
        <v>14000</v>
      </c>
      <c r="H5" s="409" t="str">
        <f>'ADO-4'!$B$6</f>
        <v>Pas de subside</v>
      </c>
      <c r="I5" s="410">
        <f>'ADO-4'!$B$17</f>
        <v>0</v>
      </c>
      <c r="J5" s="410">
        <f>'ADO-4'!$B$20</f>
        <v>1</v>
      </c>
      <c r="K5" s="410">
        <f>'ADO-4'!$B$21</f>
        <v>0</v>
      </c>
      <c r="L5" s="419">
        <f>'ADO-4'!$B$23</f>
        <v>14000</v>
      </c>
      <c r="M5" s="420">
        <f>'ADO-4'!$B$18/1000</f>
        <v>0</v>
      </c>
      <c r="N5" s="413"/>
      <c r="O5" s="414" t="str">
        <f>'ADO-4'!$E$5</f>
        <v>Terminé</v>
      </c>
      <c r="P5" s="421">
        <f>'ADO-4'!$B$15</f>
        <v>2014</v>
      </c>
      <c r="Q5" s="247">
        <f t="shared" si="0"/>
        <v>0</v>
      </c>
      <c r="R5" s="416">
        <f t="shared" si="41"/>
        <v>0</v>
      </c>
      <c r="S5" s="416">
        <f t="shared" si="42"/>
        <v>0</v>
      </c>
      <c r="T5" s="416">
        <f t="shared" si="43"/>
        <v>0</v>
      </c>
      <c r="U5" s="416">
        <f t="shared" si="44"/>
        <v>0</v>
      </c>
      <c r="V5" s="416">
        <f t="shared" si="45"/>
        <v>0</v>
      </c>
      <c r="W5" s="416">
        <f t="shared" si="46"/>
        <v>0</v>
      </c>
      <c r="X5" s="416">
        <f t="shared" si="47"/>
        <v>0</v>
      </c>
      <c r="Z5" s="416">
        <f t="shared" si="1"/>
        <v>0</v>
      </c>
      <c r="AA5" s="416">
        <f t="shared" si="2"/>
        <v>0</v>
      </c>
      <c r="AB5" s="416">
        <f t="shared" si="3"/>
        <v>0</v>
      </c>
      <c r="AC5" s="416">
        <f t="shared" si="4"/>
        <v>0</v>
      </c>
      <c r="AD5" s="416">
        <f t="shared" si="5"/>
        <v>0</v>
      </c>
      <c r="AE5" s="416">
        <f t="shared" si="6"/>
        <v>0</v>
      </c>
      <c r="AG5" s="416">
        <f t="shared" si="7"/>
        <v>0</v>
      </c>
      <c r="AH5" s="416">
        <f t="shared" si="8"/>
        <v>0</v>
      </c>
      <c r="AI5" s="416">
        <f t="shared" si="9"/>
        <v>0</v>
      </c>
      <c r="AJ5" s="416">
        <f t="shared" si="10"/>
        <v>0</v>
      </c>
      <c r="AK5" s="416">
        <f t="shared" si="11"/>
        <v>0</v>
      </c>
      <c r="AL5" s="416">
        <f t="shared" si="12"/>
        <v>0</v>
      </c>
      <c r="AM5" s="244"/>
      <c r="AN5" s="416">
        <f t="shared" si="13"/>
        <v>0</v>
      </c>
      <c r="AO5" s="416">
        <f t="shared" si="14"/>
        <v>0</v>
      </c>
      <c r="AP5" s="416">
        <f t="shared" si="15"/>
        <v>0</v>
      </c>
      <c r="AQ5" s="416">
        <f t="shared" si="16"/>
        <v>0</v>
      </c>
      <c r="AR5" s="416">
        <f t="shared" si="17"/>
        <v>0</v>
      </c>
      <c r="AS5" s="416">
        <f t="shared" si="18"/>
        <v>0</v>
      </c>
      <c r="AT5" s="416">
        <f t="shared" si="19"/>
        <v>0</v>
      </c>
      <c r="AV5" s="416">
        <f t="shared" si="20"/>
        <v>0</v>
      </c>
      <c r="AW5" s="416">
        <f t="shared" si="21"/>
        <v>0</v>
      </c>
      <c r="AX5" s="416">
        <f t="shared" si="22"/>
        <v>0</v>
      </c>
      <c r="AY5" s="416">
        <f t="shared" si="23"/>
        <v>0</v>
      </c>
      <c r="AZ5" s="416">
        <f t="shared" si="24"/>
        <v>0</v>
      </c>
      <c r="BA5" s="416">
        <f t="shared" si="25"/>
        <v>0</v>
      </c>
      <c r="BB5" s="416">
        <f t="shared" si="26"/>
        <v>0</v>
      </c>
      <c r="BC5" s="244"/>
      <c r="BD5" s="416">
        <f t="shared" si="27"/>
        <v>0</v>
      </c>
      <c r="BE5" s="416">
        <f t="shared" si="28"/>
        <v>0</v>
      </c>
      <c r="BF5" s="416">
        <f t="shared" si="29"/>
        <v>0</v>
      </c>
      <c r="BG5" s="416">
        <f t="shared" si="30"/>
        <v>0</v>
      </c>
      <c r="BH5" s="416">
        <f t="shared" si="31"/>
        <v>0</v>
      </c>
      <c r="BI5" s="416">
        <f t="shared" si="32"/>
        <v>0</v>
      </c>
      <c r="BJ5" s="416">
        <f t="shared" si="33"/>
        <v>0</v>
      </c>
      <c r="BL5" s="416">
        <f t="shared" si="34"/>
        <v>0</v>
      </c>
      <c r="BM5" s="416">
        <f t="shared" si="35"/>
        <v>0</v>
      </c>
      <c r="BN5" s="416">
        <f t="shared" si="36"/>
        <v>0</v>
      </c>
      <c r="BO5" s="416">
        <f t="shared" si="37"/>
        <v>0</v>
      </c>
      <c r="BP5" s="416">
        <f t="shared" si="38"/>
        <v>0</v>
      </c>
      <c r="BQ5" s="416">
        <f t="shared" si="39"/>
        <v>0</v>
      </c>
      <c r="BR5" s="416">
        <f t="shared" si="40"/>
        <v>0</v>
      </c>
    </row>
    <row r="6" spans="1:70" s="417" customFormat="1" x14ac:dyDescent="0.25">
      <c r="A6" s="768" t="s">
        <v>180</v>
      </c>
      <c r="B6" s="409" t="str">
        <f>'ADO-5'!$B$7</f>
        <v>Centrale d'achat</v>
      </c>
      <c r="C6" s="409" t="str">
        <f>'ADO-5'!$B$8</f>
        <v>Mise en place d'une centrale d'achat</v>
      </c>
      <c r="D6" s="409" t="str">
        <f>'ADO-5'!$C$4</f>
        <v>Territoire</v>
      </c>
      <c r="E6" s="409" t="str">
        <f>'ADO-5'!$B$11</f>
        <v>Citoyen</v>
      </c>
      <c r="F6" s="409" t="str">
        <f>'ADO-5'!$B$5</f>
        <v>Pas de financement</v>
      </c>
      <c r="G6" s="410">
        <f>'ADO-5'!$B$16</f>
        <v>0</v>
      </c>
      <c r="H6" s="409" t="str">
        <f>'ADO-5'!$B$6</f>
        <v>Pas de subside</v>
      </c>
      <c r="I6" s="410">
        <f>'ADO-5'!$B$17</f>
        <v>0</v>
      </c>
      <c r="J6" s="410">
        <f>'ADO-5'!$B$20</f>
        <v>1</v>
      </c>
      <c r="K6" s="410">
        <f>'ADO-5'!$B$21</f>
        <v>0</v>
      </c>
      <c r="L6" s="419">
        <f>'ADO-5'!$B$23</f>
        <v>0</v>
      </c>
      <c r="M6" s="420">
        <f>'ADO-5'!$B$18/1000</f>
        <v>0</v>
      </c>
      <c r="N6" s="413"/>
      <c r="O6" s="414" t="str">
        <f>'ADO-5'!$E$5</f>
        <v>Terminé</v>
      </c>
      <c r="P6" s="421">
        <f>'ADO-5'!$B$15</f>
        <v>2020</v>
      </c>
      <c r="Q6" s="247">
        <f t="shared" si="0"/>
        <v>0</v>
      </c>
      <c r="R6" s="416">
        <f t="shared" si="41"/>
        <v>0</v>
      </c>
      <c r="S6" s="416">
        <f t="shared" si="42"/>
        <v>0</v>
      </c>
      <c r="T6" s="416">
        <f t="shared" si="43"/>
        <v>0</v>
      </c>
      <c r="U6" s="416">
        <f t="shared" si="44"/>
        <v>0</v>
      </c>
      <c r="V6" s="416">
        <f t="shared" si="45"/>
        <v>0</v>
      </c>
      <c r="W6" s="416">
        <f t="shared" si="46"/>
        <v>0</v>
      </c>
      <c r="X6" s="416">
        <f t="shared" si="47"/>
        <v>0</v>
      </c>
      <c r="Z6" s="416">
        <f t="shared" si="1"/>
        <v>0</v>
      </c>
      <c r="AA6" s="416">
        <f t="shared" si="2"/>
        <v>0</v>
      </c>
      <c r="AB6" s="416">
        <f t="shared" si="3"/>
        <v>0</v>
      </c>
      <c r="AC6" s="416">
        <f t="shared" si="4"/>
        <v>0</v>
      </c>
      <c r="AD6" s="416">
        <f t="shared" si="5"/>
        <v>0</v>
      </c>
      <c r="AE6" s="416">
        <f t="shared" si="6"/>
        <v>0</v>
      </c>
      <c r="AG6" s="416">
        <f t="shared" si="7"/>
        <v>0</v>
      </c>
      <c r="AH6" s="416">
        <f t="shared" si="8"/>
        <v>0</v>
      </c>
      <c r="AI6" s="416">
        <f t="shared" si="9"/>
        <v>0</v>
      </c>
      <c r="AJ6" s="416">
        <f t="shared" si="10"/>
        <v>0</v>
      </c>
      <c r="AK6" s="416">
        <f t="shared" si="11"/>
        <v>0</v>
      </c>
      <c r="AL6" s="416">
        <f t="shared" si="12"/>
        <v>0</v>
      </c>
      <c r="AM6" s="244"/>
      <c r="AN6" s="416">
        <f t="shared" si="13"/>
        <v>0</v>
      </c>
      <c r="AO6" s="416">
        <f t="shared" si="14"/>
        <v>0</v>
      </c>
      <c r="AP6" s="416">
        <f t="shared" si="15"/>
        <v>0</v>
      </c>
      <c r="AQ6" s="416">
        <f t="shared" si="16"/>
        <v>0</v>
      </c>
      <c r="AR6" s="416">
        <f t="shared" si="17"/>
        <v>0</v>
      </c>
      <c r="AS6" s="416">
        <f t="shared" si="18"/>
        <v>0</v>
      </c>
      <c r="AT6" s="416">
        <f t="shared" si="19"/>
        <v>0</v>
      </c>
      <c r="AV6" s="416">
        <f t="shared" si="20"/>
        <v>0</v>
      </c>
      <c r="AW6" s="416">
        <f t="shared" si="21"/>
        <v>0</v>
      </c>
      <c r="AX6" s="416">
        <f t="shared" si="22"/>
        <v>0</v>
      </c>
      <c r="AY6" s="416">
        <f t="shared" si="23"/>
        <v>0</v>
      </c>
      <c r="AZ6" s="416">
        <f t="shared" si="24"/>
        <v>0</v>
      </c>
      <c r="BA6" s="416">
        <f t="shared" si="25"/>
        <v>0</v>
      </c>
      <c r="BB6" s="416">
        <f t="shared" si="26"/>
        <v>0</v>
      </c>
      <c r="BC6" s="244"/>
      <c r="BD6" s="416">
        <f t="shared" si="27"/>
        <v>0</v>
      </c>
      <c r="BE6" s="416">
        <f t="shared" si="28"/>
        <v>0</v>
      </c>
      <c r="BF6" s="416">
        <f t="shared" si="29"/>
        <v>0</v>
      </c>
      <c r="BG6" s="416">
        <f t="shared" si="30"/>
        <v>0</v>
      </c>
      <c r="BH6" s="416">
        <f t="shared" si="31"/>
        <v>0</v>
      </c>
      <c r="BI6" s="416">
        <f t="shared" si="32"/>
        <v>0</v>
      </c>
      <c r="BJ6" s="416">
        <f t="shared" si="33"/>
        <v>0</v>
      </c>
      <c r="BL6" s="416">
        <f t="shared" si="34"/>
        <v>0</v>
      </c>
      <c r="BM6" s="416">
        <f t="shared" si="35"/>
        <v>0</v>
      </c>
      <c r="BN6" s="416">
        <f t="shared" si="36"/>
        <v>0</v>
      </c>
      <c r="BO6" s="416">
        <f t="shared" si="37"/>
        <v>0</v>
      </c>
      <c r="BP6" s="416">
        <f t="shared" si="38"/>
        <v>0</v>
      </c>
      <c r="BQ6" s="416">
        <f t="shared" si="39"/>
        <v>0</v>
      </c>
      <c r="BR6" s="416">
        <f t="shared" si="40"/>
        <v>0</v>
      </c>
    </row>
    <row r="7" spans="1:70" s="477" customFormat="1" x14ac:dyDescent="0.25">
      <c r="A7" s="769" t="s">
        <v>308</v>
      </c>
      <c r="B7" s="468" t="str">
        <f>'ADO-6'!$B$7</f>
        <v>URE</v>
      </c>
      <c r="C7" s="468" t="str">
        <f>'ADO-6'!$B$8</f>
        <v>Sensibilisation du grand public aux URE - chaleur</v>
      </c>
      <c r="D7" s="468" t="str">
        <f>'ADO-6'!$C$4</f>
        <v>Logement</v>
      </c>
      <c r="E7" s="468" t="str">
        <f>'ADO-6'!$B$11</f>
        <v>Citoyen</v>
      </c>
      <c r="F7" s="468" t="str">
        <f>'ADO-6'!$B$5</f>
        <v>Pas de financement</v>
      </c>
      <c r="G7" s="469">
        <f>'ADO-6'!$B$16</f>
        <v>0</v>
      </c>
      <c r="H7" s="468" t="str">
        <f>'ADO-6'!$B$6</f>
        <v>Pas de subside</v>
      </c>
      <c r="I7" s="469">
        <f>'ADO-6'!$B$17</f>
        <v>0</v>
      </c>
      <c r="J7" s="469">
        <f>'ADO-6'!$B$20</f>
        <v>148595.72950210556</v>
      </c>
      <c r="K7" s="469">
        <f>'ADO-6'!$B$21</f>
        <v>0</v>
      </c>
      <c r="L7" s="470">
        <f>'ADO-6'!$B$23</f>
        <v>0</v>
      </c>
      <c r="M7" s="479">
        <f>'ADO-6'!$B$18/1000</f>
        <v>1727.857319791925</v>
      </c>
      <c r="N7" s="472"/>
      <c r="O7" s="473" t="str">
        <f>'ADO-6'!$E$5</f>
        <v>En cours</v>
      </c>
      <c r="P7" s="474">
        <f>'ADO-6'!$B$15</f>
        <v>2020</v>
      </c>
      <c r="Q7" s="475">
        <f t="shared" si="0"/>
        <v>0</v>
      </c>
      <c r="R7" s="475">
        <f t="shared" si="41"/>
        <v>0</v>
      </c>
      <c r="S7" s="475">
        <f t="shared" si="42"/>
        <v>0</v>
      </c>
      <c r="T7" s="475">
        <f t="shared" si="43"/>
        <v>0</v>
      </c>
      <c r="U7" s="475">
        <f t="shared" si="44"/>
        <v>0</v>
      </c>
      <c r="V7" s="475">
        <f t="shared" si="45"/>
        <v>0</v>
      </c>
      <c r="W7" s="475">
        <f t="shared" si="46"/>
        <v>0</v>
      </c>
      <c r="X7" s="475">
        <f t="shared" si="47"/>
        <v>0</v>
      </c>
      <c r="Z7" s="416">
        <f t="shared" si="1"/>
        <v>0</v>
      </c>
      <c r="AA7" s="416">
        <f t="shared" si="2"/>
        <v>0</v>
      </c>
      <c r="AB7" s="416">
        <f t="shared" si="3"/>
        <v>0</v>
      </c>
      <c r="AC7" s="416">
        <f t="shared" si="4"/>
        <v>0</v>
      </c>
      <c r="AD7" s="416">
        <f t="shared" si="5"/>
        <v>0</v>
      </c>
      <c r="AE7" s="416">
        <f t="shared" si="6"/>
        <v>0</v>
      </c>
      <c r="AF7" s="417"/>
      <c r="AG7" s="416">
        <f t="shared" si="7"/>
        <v>0</v>
      </c>
      <c r="AH7" s="416">
        <f t="shared" si="8"/>
        <v>0</v>
      </c>
      <c r="AI7" s="416">
        <f t="shared" si="9"/>
        <v>0</v>
      </c>
      <c r="AJ7" s="416">
        <f t="shared" si="10"/>
        <v>0</v>
      </c>
      <c r="AK7" s="416">
        <f t="shared" si="11"/>
        <v>0</v>
      </c>
      <c r="AL7" s="416">
        <f t="shared" si="12"/>
        <v>0</v>
      </c>
      <c r="AM7" s="244"/>
      <c r="AN7" s="416">
        <f t="shared" si="13"/>
        <v>0</v>
      </c>
      <c r="AO7" s="416">
        <f t="shared" si="14"/>
        <v>0</v>
      </c>
      <c r="AP7" s="416">
        <f t="shared" si="15"/>
        <v>0</v>
      </c>
      <c r="AQ7" s="416">
        <f t="shared" si="16"/>
        <v>0</v>
      </c>
      <c r="AR7" s="416">
        <f t="shared" si="17"/>
        <v>0</v>
      </c>
      <c r="AS7" s="416">
        <f t="shared" si="18"/>
        <v>0</v>
      </c>
      <c r="AT7" s="416">
        <f t="shared" si="19"/>
        <v>0</v>
      </c>
      <c r="AU7" s="417"/>
      <c r="AV7" s="416">
        <f t="shared" si="20"/>
        <v>0</v>
      </c>
      <c r="AW7" s="416">
        <f t="shared" si="21"/>
        <v>0</v>
      </c>
      <c r="AX7" s="416">
        <f t="shared" si="22"/>
        <v>0</v>
      </c>
      <c r="AY7" s="416">
        <f t="shared" si="23"/>
        <v>0</v>
      </c>
      <c r="AZ7" s="416">
        <f t="shared" si="24"/>
        <v>0</v>
      </c>
      <c r="BA7" s="416">
        <f t="shared" si="25"/>
        <v>0</v>
      </c>
      <c r="BB7" s="416">
        <f t="shared" si="26"/>
        <v>0</v>
      </c>
      <c r="BC7" s="244"/>
      <c r="BD7" s="416">
        <f t="shared" si="27"/>
        <v>0</v>
      </c>
      <c r="BE7" s="416">
        <f t="shared" si="28"/>
        <v>0</v>
      </c>
      <c r="BF7" s="416">
        <f t="shared" si="29"/>
        <v>0</v>
      </c>
      <c r="BG7" s="416">
        <f t="shared" si="30"/>
        <v>0</v>
      </c>
      <c r="BH7" s="416">
        <f t="shared" si="31"/>
        <v>0</v>
      </c>
      <c r="BI7" s="416">
        <f t="shared" si="32"/>
        <v>0</v>
      </c>
      <c r="BJ7" s="416">
        <f t="shared" si="33"/>
        <v>0</v>
      </c>
      <c r="BK7" s="417"/>
      <c r="BL7" s="416">
        <f t="shared" si="34"/>
        <v>0</v>
      </c>
      <c r="BM7" s="416">
        <f t="shared" si="35"/>
        <v>0</v>
      </c>
      <c r="BN7" s="416">
        <f t="shared" si="36"/>
        <v>0</v>
      </c>
      <c r="BO7" s="416">
        <f t="shared" si="37"/>
        <v>0</v>
      </c>
      <c r="BP7" s="416">
        <f t="shared" si="38"/>
        <v>0</v>
      </c>
      <c r="BQ7" s="416">
        <f t="shared" si="39"/>
        <v>0</v>
      </c>
      <c r="BR7" s="416">
        <f t="shared" si="40"/>
        <v>0</v>
      </c>
    </row>
    <row r="8" spans="1:70" s="477" customFormat="1" x14ac:dyDescent="0.25">
      <c r="A8" s="769" t="s">
        <v>309</v>
      </c>
      <c r="B8" s="468" t="str">
        <f>'ADO-7'!$B$7</f>
        <v>URE</v>
      </c>
      <c r="C8" s="468" t="str">
        <f>'ADO-7'!$B$8</f>
        <v>Sensibilisation du grand public aux URE - électricité</v>
      </c>
      <c r="D8" s="468" t="str">
        <f>'ADO-7'!$C$4</f>
        <v>Logement</v>
      </c>
      <c r="E8" s="468" t="str">
        <f>'ADO-7'!$B$11</f>
        <v>Citoyen</v>
      </c>
      <c r="F8" s="468" t="str">
        <f>'ADO-7'!$B$5</f>
        <v>Pas de financement</v>
      </c>
      <c r="G8" s="469">
        <f>'ADO-7'!$B$16</f>
        <v>0</v>
      </c>
      <c r="H8" s="468" t="str">
        <f>'ADO-7'!$B$6</f>
        <v>Pas de subside</v>
      </c>
      <c r="I8" s="469">
        <f>'ADO-7'!$B$17</f>
        <v>0</v>
      </c>
      <c r="J8" s="469">
        <f>'ADO-6'!$B$20</f>
        <v>148595.72950210556</v>
      </c>
      <c r="K8" s="469">
        <f>'ADO-7'!$B$21</f>
        <v>0</v>
      </c>
      <c r="L8" s="470">
        <f>'ADO-7'!$B$23</f>
        <v>0</v>
      </c>
      <c r="M8" s="479">
        <f>'ADO-7'!$B$18/1000</f>
        <v>437.87961357443646</v>
      </c>
      <c r="N8" s="472"/>
      <c r="O8" s="473" t="str">
        <f>'ADO-7'!$E$5</f>
        <v>En cours</v>
      </c>
      <c r="P8" s="474">
        <f>'ADO-7'!$B$15</f>
        <v>2020</v>
      </c>
      <c r="Q8" s="475">
        <f t="shared" si="0"/>
        <v>0</v>
      </c>
      <c r="R8" s="475">
        <f t="shared" si="41"/>
        <v>0</v>
      </c>
      <c r="S8" s="475">
        <f t="shared" si="42"/>
        <v>0</v>
      </c>
      <c r="T8" s="475">
        <f t="shared" si="43"/>
        <v>0</v>
      </c>
      <c r="U8" s="475">
        <f t="shared" si="44"/>
        <v>0</v>
      </c>
      <c r="V8" s="475">
        <f t="shared" si="45"/>
        <v>0</v>
      </c>
      <c r="W8" s="475">
        <f t="shared" si="46"/>
        <v>0</v>
      </c>
      <c r="X8" s="475">
        <f t="shared" si="47"/>
        <v>0</v>
      </c>
      <c r="Z8" s="416">
        <f t="shared" si="1"/>
        <v>0</v>
      </c>
      <c r="AA8" s="416">
        <f t="shared" si="2"/>
        <v>0</v>
      </c>
      <c r="AB8" s="416">
        <f t="shared" si="3"/>
        <v>0</v>
      </c>
      <c r="AC8" s="416">
        <f t="shared" si="4"/>
        <v>0</v>
      </c>
      <c r="AD8" s="416">
        <f t="shared" si="5"/>
        <v>0</v>
      </c>
      <c r="AE8" s="416">
        <f t="shared" si="6"/>
        <v>0</v>
      </c>
      <c r="AF8" s="417"/>
      <c r="AG8" s="416">
        <f t="shared" si="7"/>
        <v>0</v>
      </c>
      <c r="AH8" s="416">
        <f t="shared" si="8"/>
        <v>0</v>
      </c>
      <c r="AI8" s="416">
        <f t="shared" si="9"/>
        <v>0</v>
      </c>
      <c r="AJ8" s="416">
        <f t="shared" si="10"/>
        <v>0</v>
      </c>
      <c r="AK8" s="416">
        <f t="shared" si="11"/>
        <v>0</v>
      </c>
      <c r="AL8" s="416">
        <f t="shared" si="12"/>
        <v>0</v>
      </c>
      <c r="AM8" s="244"/>
      <c r="AN8" s="416">
        <f t="shared" si="13"/>
        <v>0</v>
      </c>
      <c r="AO8" s="416">
        <f t="shared" si="14"/>
        <v>0</v>
      </c>
      <c r="AP8" s="416">
        <f t="shared" si="15"/>
        <v>0</v>
      </c>
      <c r="AQ8" s="416">
        <f t="shared" si="16"/>
        <v>0</v>
      </c>
      <c r="AR8" s="416">
        <f t="shared" si="17"/>
        <v>0</v>
      </c>
      <c r="AS8" s="416">
        <f t="shared" si="18"/>
        <v>0</v>
      </c>
      <c r="AT8" s="416">
        <f t="shared" si="19"/>
        <v>0</v>
      </c>
      <c r="AU8" s="417"/>
      <c r="AV8" s="416">
        <f t="shared" si="20"/>
        <v>0</v>
      </c>
      <c r="AW8" s="416">
        <f t="shared" si="21"/>
        <v>0</v>
      </c>
      <c r="AX8" s="416">
        <f t="shared" si="22"/>
        <v>0</v>
      </c>
      <c r="AY8" s="416">
        <f t="shared" si="23"/>
        <v>0</v>
      </c>
      <c r="AZ8" s="416">
        <f t="shared" si="24"/>
        <v>0</v>
      </c>
      <c r="BA8" s="416">
        <f t="shared" si="25"/>
        <v>0</v>
      </c>
      <c r="BB8" s="416">
        <f t="shared" si="26"/>
        <v>0</v>
      </c>
      <c r="BC8" s="244"/>
      <c r="BD8" s="416">
        <f t="shared" si="27"/>
        <v>0</v>
      </c>
      <c r="BE8" s="416">
        <f t="shared" si="28"/>
        <v>0</v>
      </c>
      <c r="BF8" s="416">
        <f t="shared" si="29"/>
        <v>0</v>
      </c>
      <c r="BG8" s="416">
        <f t="shared" si="30"/>
        <v>0</v>
      </c>
      <c r="BH8" s="416">
        <f t="shared" si="31"/>
        <v>0</v>
      </c>
      <c r="BI8" s="416">
        <f t="shared" si="32"/>
        <v>0</v>
      </c>
      <c r="BJ8" s="416">
        <f t="shared" si="33"/>
        <v>0</v>
      </c>
      <c r="BK8" s="417"/>
      <c r="BL8" s="416">
        <f t="shared" si="34"/>
        <v>0</v>
      </c>
      <c r="BM8" s="416">
        <f t="shared" si="35"/>
        <v>0</v>
      </c>
      <c r="BN8" s="416">
        <f t="shared" si="36"/>
        <v>0</v>
      </c>
      <c r="BO8" s="416">
        <f t="shared" si="37"/>
        <v>0</v>
      </c>
      <c r="BP8" s="416">
        <f t="shared" si="38"/>
        <v>0</v>
      </c>
      <c r="BQ8" s="416">
        <f t="shared" si="39"/>
        <v>0</v>
      </c>
      <c r="BR8" s="416">
        <f t="shared" si="40"/>
        <v>0</v>
      </c>
    </row>
    <row r="9" spans="1:70" s="417" customFormat="1" x14ac:dyDescent="0.25">
      <c r="A9" s="768" t="s">
        <v>317</v>
      </c>
      <c r="B9" s="409" t="str">
        <f>'ADO-8'!$B$7</f>
        <v>Agriculteurs</v>
      </c>
      <c r="C9" s="409" t="str">
        <f>'ADO-8'!$B$8</f>
        <v>Informations spécifiques aux agriculteurs</v>
      </c>
      <c r="D9" s="409" t="str">
        <f>'ADO-8'!$C$4</f>
        <v>Agriculture</v>
      </c>
      <c r="E9" s="409" t="str">
        <f>'ADO-8'!$B$11</f>
        <v>AC HABAY</v>
      </c>
      <c r="F9" s="409" t="str">
        <f>'ADO-8'!$B$5</f>
        <v>Pas de financement</v>
      </c>
      <c r="G9" s="410">
        <f>'ADO-8'!$B$16</f>
        <v>0</v>
      </c>
      <c r="H9" s="409" t="str">
        <f>'ADO-8'!$B$6</f>
        <v>Pas de subside</v>
      </c>
      <c r="I9" s="410">
        <f>'ADO-8'!$B$17</f>
        <v>0</v>
      </c>
      <c r="J9" s="410">
        <f>'ADO-8'!$B$20</f>
        <v>1</v>
      </c>
      <c r="K9" s="410">
        <f>'ADO-8'!$B$21</f>
        <v>0</v>
      </c>
      <c r="L9" s="419">
        <f>'ADO-8'!$B$23</f>
        <v>0</v>
      </c>
      <c r="M9" s="420">
        <f>'ADO-8'!$B$18/1000</f>
        <v>0</v>
      </c>
      <c r="N9" s="413"/>
      <c r="O9" s="414" t="str">
        <f>'ADO-8'!$E$5</f>
        <v>A faire</v>
      </c>
      <c r="P9" s="421">
        <f>'ADO-8'!$B$15</f>
        <v>2020</v>
      </c>
      <c r="Q9" s="247">
        <f t="shared" si="0"/>
        <v>0</v>
      </c>
      <c r="R9" s="416">
        <f t="shared" si="41"/>
        <v>0</v>
      </c>
      <c r="S9" s="416">
        <f t="shared" si="42"/>
        <v>0</v>
      </c>
      <c r="T9" s="416">
        <f t="shared" si="43"/>
        <v>0</v>
      </c>
      <c r="U9" s="416">
        <f t="shared" si="44"/>
        <v>0</v>
      </c>
      <c r="V9" s="416">
        <f t="shared" si="45"/>
        <v>0</v>
      </c>
      <c r="W9" s="416">
        <f t="shared" si="46"/>
        <v>0</v>
      </c>
      <c r="X9" s="416">
        <f t="shared" si="47"/>
        <v>0</v>
      </c>
      <c r="Z9" s="416">
        <f t="shared" si="1"/>
        <v>0</v>
      </c>
      <c r="AA9" s="416">
        <f t="shared" si="2"/>
        <v>0</v>
      </c>
      <c r="AB9" s="416">
        <f t="shared" si="3"/>
        <v>0</v>
      </c>
      <c r="AC9" s="416">
        <f t="shared" si="4"/>
        <v>0</v>
      </c>
      <c r="AD9" s="416">
        <f t="shared" si="5"/>
        <v>0</v>
      </c>
      <c r="AE9" s="416">
        <f t="shared" si="6"/>
        <v>0</v>
      </c>
      <c r="AG9" s="416">
        <f t="shared" si="7"/>
        <v>0</v>
      </c>
      <c r="AH9" s="416">
        <f t="shared" si="8"/>
        <v>0</v>
      </c>
      <c r="AI9" s="416">
        <f t="shared" si="9"/>
        <v>0</v>
      </c>
      <c r="AJ9" s="416">
        <f t="shared" si="10"/>
        <v>0</v>
      </c>
      <c r="AK9" s="416">
        <f t="shared" si="11"/>
        <v>0</v>
      </c>
      <c r="AL9" s="416">
        <f t="shared" si="12"/>
        <v>0</v>
      </c>
      <c r="AM9" s="244"/>
      <c r="AN9" s="416">
        <f t="shared" si="13"/>
        <v>0</v>
      </c>
      <c r="AO9" s="416">
        <f t="shared" si="14"/>
        <v>0</v>
      </c>
      <c r="AP9" s="416">
        <f t="shared" si="15"/>
        <v>0</v>
      </c>
      <c r="AQ9" s="416">
        <f t="shared" si="16"/>
        <v>0</v>
      </c>
      <c r="AR9" s="416">
        <f t="shared" si="17"/>
        <v>0</v>
      </c>
      <c r="AS9" s="416">
        <f t="shared" si="18"/>
        <v>0</v>
      </c>
      <c r="AT9" s="416">
        <f t="shared" si="19"/>
        <v>0</v>
      </c>
      <c r="AV9" s="416">
        <f t="shared" si="20"/>
        <v>0</v>
      </c>
      <c r="AW9" s="416">
        <f t="shared" si="21"/>
        <v>0</v>
      </c>
      <c r="AX9" s="416">
        <f t="shared" si="22"/>
        <v>0</v>
      </c>
      <c r="AY9" s="416">
        <f t="shared" si="23"/>
        <v>0</v>
      </c>
      <c r="AZ9" s="416">
        <f t="shared" si="24"/>
        <v>0</v>
      </c>
      <c r="BA9" s="416">
        <f t="shared" si="25"/>
        <v>0</v>
      </c>
      <c r="BB9" s="416">
        <f t="shared" si="26"/>
        <v>0</v>
      </c>
      <c r="BC9" s="244"/>
      <c r="BD9" s="416">
        <f t="shared" si="27"/>
        <v>0</v>
      </c>
      <c r="BE9" s="416">
        <f t="shared" si="28"/>
        <v>1</v>
      </c>
      <c r="BF9" s="416">
        <f t="shared" si="29"/>
        <v>0</v>
      </c>
      <c r="BG9" s="416">
        <f t="shared" si="30"/>
        <v>0</v>
      </c>
      <c r="BH9" s="416">
        <f t="shared" si="31"/>
        <v>0</v>
      </c>
      <c r="BI9" s="416">
        <f t="shared" si="32"/>
        <v>0</v>
      </c>
      <c r="BJ9" s="416">
        <f t="shared" si="33"/>
        <v>0</v>
      </c>
      <c r="BL9" s="416">
        <f t="shared" si="34"/>
        <v>0</v>
      </c>
      <c r="BM9" s="416">
        <f t="shared" si="35"/>
        <v>0</v>
      </c>
      <c r="BN9" s="416">
        <f t="shared" si="36"/>
        <v>0</v>
      </c>
      <c r="BO9" s="416">
        <f t="shared" si="37"/>
        <v>0</v>
      </c>
      <c r="BP9" s="416">
        <f t="shared" si="38"/>
        <v>0</v>
      </c>
      <c r="BQ9" s="416">
        <f t="shared" si="39"/>
        <v>0</v>
      </c>
      <c r="BR9" s="416">
        <f t="shared" si="40"/>
        <v>0</v>
      </c>
    </row>
    <row r="10" spans="1:70" s="417" customFormat="1" x14ac:dyDescent="0.25">
      <c r="A10" s="768" t="s">
        <v>316</v>
      </c>
      <c r="B10" s="409" t="str">
        <f>'ADO-9'!$B$7</f>
        <v>Entreprises tous secteurs</v>
      </c>
      <c r="C10" s="409" t="str">
        <f>'ADO-9'!$B$8</f>
        <v>Information aux entreprises</v>
      </c>
      <c r="D10" s="409" t="str">
        <f>'ADO-9'!$C$4</f>
        <v>Industrie</v>
      </c>
      <c r="E10" s="409" t="str">
        <f>'ADO-9'!$B$11</f>
        <v>AC HABAY</v>
      </c>
      <c r="F10" s="409" t="str">
        <f>'ADO-9'!$B$5</f>
        <v>Pas de financement</v>
      </c>
      <c r="G10" s="410">
        <f>'ADO-9'!$B$16</f>
        <v>0</v>
      </c>
      <c r="H10" s="409" t="str">
        <f>'ADO-9'!$B$6</f>
        <v>Pas de subside</v>
      </c>
      <c r="I10" s="410">
        <f>'ADO-9'!$B$17</f>
        <v>0</v>
      </c>
      <c r="J10" s="410">
        <f>'ADO-9'!$B$20</f>
        <v>1</v>
      </c>
      <c r="K10" s="410">
        <f>'ADO-9'!$B$21</f>
        <v>0</v>
      </c>
      <c r="L10" s="419">
        <f>'ADO-9'!$B$23</f>
        <v>0</v>
      </c>
      <c r="M10" s="420">
        <f>'ADO-9'!$B$18/1000</f>
        <v>0</v>
      </c>
      <c r="N10" s="413"/>
      <c r="O10" s="414" t="str">
        <f>'ADO-9'!$E$5</f>
        <v>En cours</v>
      </c>
      <c r="P10" s="421">
        <f>'ADO-9'!$B$15</f>
        <v>2020</v>
      </c>
      <c r="Q10" s="247">
        <f t="shared" si="0"/>
        <v>0</v>
      </c>
      <c r="R10" s="416">
        <f t="shared" si="41"/>
        <v>0</v>
      </c>
      <c r="S10" s="416">
        <f t="shared" si="42"/>
        <v>0</v>
      </c>
      <c r="T10" s="416">
        <f t="shared" si="43"/>
        <v>0</v>
      </c>
      <c r="U10" s="416">
        <f t="shared" si="44"/>
        <v>0</v>
      </c>
      <c r="V10" s="416">
        <f t="shared" si="45"/>
        <v>0</v>
      </c>
      <c r="W10" s="416">
        <f t="shared" si="46"/>
        <v>0</v>
      </c>
      <c r="X10" s="416">
        <f t="shared" si="47"/>
        <v>0</v>
      </c>
      <c r="Z10" s="661">
        <f t="shared" si="1"/>
        <v>0</v>
      </c>
      <c r="AA10" s="661">
        <f t="shared" si="2"/>
        <v>0</v>
      </c>
      <c r="AB10" s="661">
        <f t="shared" si="3"/>
        <v>0</v>
      </c>
      <c r="AC10" s="661">
        <f t="shared" si="4"/>
        <v>0</v>
      </c>
      <c r="AD10" s="416">
        <f t="shared" si="5"/>
        <v>0</v>
      </c>
      <c r="AE10" s="661">
        <f t="shared" si="6"/>
        <v>0</v>
      </c>
      <c r="AF10" s="662"/>
      <c r="AG10" s="661">
        <f t="shared" si="7"/>
        <v>0</v>
      </c>
      <c r="AH10" s="661">
        <f t="shared" si="8"/>
        <v>0</v>
      </c>
      <c r="AI10" s="661">
        <f t="shared" si="9"/>
        <v>0</v>
      </c>
      <c r="AJ10" s="661">
        <f t="shared" si="10"/>
        <v>0</v>
      </c>
      <c r="AK10" s="416">
        <f t="shared" si="11"/>
        <v>0</v>
      </c>
      <c r="AL10" s="661">
        <f t="shared" si="12"/>
        <v>0</v>
      </c>
      <c r="AM10" s="244"/>
      <c r="AN10" s="661">
        <f t="shared" si="13"/>
        <v>0</v>
      </c>
      <c r="AO10" s="661">
        <f t="shared" si="14"/>
        <v>0</v>
      </c>
      <c r="AP10" s="661">
        <f t="shared" si="15"/>
        <v>0</v>
      </c>
      <c r="AQ10" s="661">
        <f t="shared" si="16"/>
        <v>0</v>
      </c>
      <c r="AR10" s="661">
        <f t="shared" si="17"/>
        <v>0</v>
      </c>
      <c r="AS10" s="661">
        <f t="shared" si="18"/>
        <v>0</v>
      </c>
      <c r="AT10" s="661">
        <f t="shared" si="19"/>
        <v>0</v>
      </c>
      <c r="AU10" s="662"/>
      <c r="AV10" s="661">
        <f t="shared" si="20"/>
        <v>0</v>
      </c>
      <c r="AW10" s="661">
        <f t="shared" si="21"/>
        <v>0</v>
      </c>
      <c r="AX10" s="661">
        <f t="shared" si="22"/>
        <v>0</v>
      </c>
      <c r="AY10" s="661">
        <f t="shared" si="23"/>
        <v>0</v>
      </c>
      <c r="AZ10" s="661">
        <f t="shared" si="24"/>
        <v>0</v>
      </c>
      <c r="BA10" s="661">
        <f t="shared" si="25"/>
        <v>0</v>
      </c>
      <c r="BB10" s="661">
        <f t="shared" si="26"/>
        <v>0</v>
      </c>
      <c r="BC10" s="244"/>
      <c r="BD10" s="661">
        <f t="shared" si="27"/>
        <v>0</v>
      </c>
      <c r="BE10" s="661">
        <f t="shared" si="28"/>
        <v>0</v>
      </c>
      <c r="BF10" s="661">
        <f t="shared" si="29"/>
        <v>0</v>
      </c>
      <c r="BG10" s="661">
        <f t="shared" si="30"/>
        <v>0</v>
      </c>
      <c r="BH10" s="661">
        <f t="shared" si="31"/>
        <v>0</v>
      </c>
      <c r="BI10" s="661">
        <f t="shared" si="32"/>
        <v>0</v>
      </c>
      <c r="BJ10" s="661">
        <f t="shared" si="33"/>
        <v>0</v>
      </c>
      <c r="BK10" s="662"/>
      <c r="BL10" s="661">
        <f t="shared" si="34"/>
        <v>0</v>
      </c>
      <c r="BM10" s="661">
        <f t="shared" si="35"/>
        <v>0</v>
      </c>
      <c r="BN10" s="661">
        <f t="shared" si="36"/>
        <v>0</v>
      </c>
      <c r="BO10" s="661">
        <f t="shared" si="37"/>
        <v>0</v>
      </c>
      <c r="BP10" s="661">
        <f t="shared" si="38"/>
        <v>0</v>
      </c>
      <c r="BQ10" s="661">
        <f t="shared" si="39"/>
        <v>0</v>
      </c>
      <c r="BR10" s="661">
        <f t="shared" si="40"/>
        <v>0</v>
      </c>
    </row>
    <row r="11" spans="1:70" s="417" customFormat="1" x14ac:dyDescent="0.25">
      <c r="A11" s="768" t="s">
        <v>315</v>
      </c>
      <c r="B11" s="409" t="str">
        <f>'ADO-10'!$B$7</f>
        <v>Tous publics</v>
      </c>
      <c r="C11" s="409" t="str">
        <f>'ADO-10'!$B$8</f>
        <v>Analyse thermographique</v>
      </c>
      <c r="D11" s="409" t="str">
        <f>'ADO-10'!$C$4</f>
        <v>Communal</v>
      </c>
      <c r="E11" s="409" t="str">
        <f>'ADO-10'!$B$11</f>
        <v>AC HABAY</v>
      </c>
      <c r="F11" s="409" t="str">
        <f>'ADO-10'!$B$5</f>
        <v>Fonds propres</v>
      </c>
      <c r="G11" s="410">
        <f>'ADO-10'!$B$16</f>
        <v>6000</v>
      </c>
      <c r="H11" s="409" t="str">
        <f>'ADO-10'!$B$6</f>
        <v>Pas de subside</v>
      </c>
      <c r="I11" s="410">
        <f>'ADO-10'!$B$17</f>
        <v>0</v>
      </c>
      <c r="J11" s="410">
        <f>'ADO-10'!$B$20</f>
        <v>1</v>
      </c>
      <c r="K11" s="410">
        <f>'ADO-10'!$B$21</f>
        <v>0</v>
      </c>
      <c r="L11" s="419">
        <f>'ADO-10'!$B$23</f>
        <v>6000</v>
      </c>
      <c r="M11" s="420">
        <f>'ADO-10'!$B$18/1000</f>
        <v>0</v>
      </c>
      <c r="N11" s="413"/>
      <c r="O11" s="414" t="str">
        <f>'ADO-10'!$E$5</f>
        <v>En cours</v>
      </c>
      <c r="P11" s="421">
        <f>'ADO-10'!$B$15</f>
        <v>2020</v>
      </c>
      <c r="Q11" s="247">
        <f t="shared" si="0"/>
        <v>0</v>
      </c>
      <c r="R11" s="416">
        <f t="shared" si="41"/>
        <v>0</v>
      </c>
      <c r="S11" s="416">
        <f t="shared" si="42"/>
        <v>0</v>
      </c>
      <c r="T11" s="416">
        <f t="shared" si="43"/>
        <v>0</v>
      </c>
      <c r="U11" s="416">
        <f t="shared" si="44"/>
        <v>0</v>
      </c>
      <c r="V11" s="416">
        <f t="shared" si="45"/>
        <v>0</v>
      </c>
      <c r="W11" s="416">
        <f t="shared" si="46"/>
        <v>0</v>
      </c>
      <c r="X11" s="416">
        <f t="shared" si="47"/>
        <v>0</v>
      </c>
      <c r="Z11" s="661">
        <f t="shared" si="1"/>
        <v>0</v>
      </c>
      <c r="AA11" s="661">
        <f t="shared" si="2"/>
        <v>0</v>
      </c>
      <c r="AB11" s="661">
        <f t="shared" si="3"/>
        <v>0</v>
      </c>
      <c r="AC11" s="661">
        <f t="shared" si="4"/>
        <v>0</v>
      </c>
      <c r="AD11" s="416">
        <f t="shared" si="5"/>
        <v>0</v>
      </c>
      <c r="AE11" s="661">
        <f t="shared" si="6"/>
        <v>0</v>
      </c>
      <c r="AF11" s="662"/>
      <c r="AG11" s="661">
        <f t="shared" si="7"/>
        <v>0</v>
      </c>
      <c r="AH11" s="661">
        <f t="shared" si="8"/>
        <v>0</v>
      </c>
      <c r="AI11" s="661">
        <f t="shared" si="9"/>
        <v>0</v>
      </c>
      <c r="AJ11" s="661">
        <f t="shared" si="10"/>
        <v>0</v>
      </c>
      <c r="AK11" s="416">
        <f t="shared" si="11"/>
        <v>0</v>
      </c>
      <c r="AL11" s="661">
        <f t="shared" si="12"/>
        <v>0</v>
      </c>
      <c r="AM11" s="244"/>
      <c r="AN11" s="661">
        <f t="shared" si="13"/>
        <v>0</v>
      </c>
      <c r="AO11" s="661">
        <f t="shared" si="14"/>
        <v>0</v>
      </c>
      <c r="AP11" s="661">
        <f t="shared" si="15"/>
        <v>0</v>
      </c>
      <c r="AQ11" s="661">
        <f t="shared" si="16"/>
        <v>0</v>
      </c>
      <c r="AR11" s="661">
        <f t="shared" si="17"/>
        <v>0</v>
      </c>
      <c r="AS11" s="661">
        <f t="shared" si="18"/>
        <v>0</v>
      </c>
      <c r="AT11" s="661">
        <f t="shared" si="19"/>
        <v>0</v>
      </c>
      <c r="AU11" s="662"/>
      <c r="AV11" s="661">
        <f t="shared" si="20"/>
        <v>0</v>
      </c>
      <c r="AW11" s="661">
        <f t="shared" si="21"/>
        <v>0</v>
      </c>
      <c r="AX11" s="661">
        <f t="shared" si="22"/>
        <v>0</v>
      </c>
      <c r="AY11" s="661">
        <f t="shared" si="23"/>
        <v>0</v>
      </c>
      <c r="AZ11" s="661">
        <f t="shared" si="24"/>
        <v>0</v>
      </c>
      <c r="BA11" s="661">
        <f t="shared" si="25"/>
        <v>0</v>
      </c>
      <c r="BB11" s="661">
        <f t="shared" si="26"/>
        <v>0</v>
      </c>
      <c r="BC11" s="244"/>
      <c r="BD11" s="661">
        <f t="shared" si="27"/>
        <v>0</v>
      </c>
      <c r="BE11" s="661">
        <f t="shared" si="28"/>
        <v>0</v>
      </c>
      <c r="BF11" s="661">
        <f t="shared" si="29"/>
        <v>0</v>
      </c>
      <c r="BG11" s="661">
        <f t="shared" si="30"/>
        <v>0</v>
      </c>
      <c r="BH11" s="661">
        <f t="shared" si="31"/>
        <v>0</v>
      </c>
      <c r="BI11" s="661">
        <f t="shared" si="32"/>
        <v>0</v>
      </c>
      <c r="BJ11" s="661">
        <f t="shared" si="33"/>
        <v>0</v>
      </c>
      <c r="BK11" s="662"/>
      <c r="BL11" s="661">
        <f t="shared" si="34"/>
        <v>0</v>
      </c>
      <c r="BM11" s="661">
        <f t="shared" si="35"/>
        <v>0</v>
      </c>
      <c r="BN11" s="661">
        <f t="shared" si="36"/>
        <v>0</v>
      </c>
      <c r="BO11" s="661">
        <f t="shared" si="37"/>
        <v>0</v>
      </c>
      <c r="BP11" s="661">
        <f t="shared" si="38"/>
        <v>0</v>
      </c>
      <c r="BQ11" s="661">
        <f t="shared" si="39"/>
        <v>0</v>
      </c>
      <c r="BR11" s="661">
        <f t="shared" si="40"/>
        <v>0</v>
      </c>
    </row>
    <row r="12" spans="1:70" s="417" customFormat="1" x14ac:dyDescent="0.25">
      <c r="A12" s="768" t="s">
        <v>408</v>
      </c>
      <c r="B12" s="409" t="str">
        <f>'ADO-11'!$B$7</f>
        <v>PAED</v>
      </c>
      <c r="C12" s="409" t="str">
        <f>'ADO-11'!$B$8</f>
        <v>Engagement d'un responsable Energie et Urbanisme</v>
      </c>
      <c r="D12" s="409" t="str">
        <f>'ADO-11'!$C$4</f>
        <v>Territoire</v>
      </c>
      <c r="E12" s="409" t="str">
        <f>'ADO-11'!$B$11</f>
        <v>AC HABAY</v>
      </c>
      <c r="F12" s="409" t="str">
        <f>'ADO-11'!$B$5</f>
        <v>Fonds propres</v>
      </c>
      <c r="G12" s="410">
        <f>'ADO-11'!$B$16</f>
        <v>300000</v>
      </c>
      <c r="H12" s="409" t="str">
        <f>'ADO-11'!$B$6</f>
        <v>Pas de subside</v>
      </c>
      <c r="I12" s="410">
        <f>'ADO-11'!$B$17</f>
        <v>0</v>
      </c>
      <c r="J12" s="410">
        <f>'ADO-11'!$B$20</f>
        <v>1</v>
      </c>
      <c r="K12" s="410">
        <f>'ADO-11'!$B$21</f>
        <v>0</v>
      </c>
      <c r="L12" s="419">
        <f>'ADO-11'!$B$23</f>
        <v>300000</v>
      </c>
      <c r="M12" s="420">
        <f>'ADO-11'!$B$18/1000</f>
        <v>0</v>
      </c>
      <c r="N12" s="413"/>
      <c r="O12" s="414" t="str">
        <f>'ADO-11'!$E$5</f>
        <v>En cours</v>
      </c>
      <c r="P12" s="421">
        <f>'ADO-11'!$B$15</f>
        <v>2020</v>
      </c>
      <c r="Q12" s="247">
        <f t="shared" si="0"/>
        <v>0</v>
      </c>
      <c r="R12" s="416">
        <f t="shared" si="41"/>
        <v>0</v>
      </c>
      <c r="S12" s="416">
        <f t="shared" si="42"/>
        <v>0</v>
      </c>
      <c r="T12" s="416">
        <f t="shared" si="43"/>
        <v>0</v>
      </c>
      <c r="U12" s="416">
        <f t="shared" si="44"/>
        <v>0</v>
      </c>
      <c r="V12" s="416">
        <f t="shared" si="45"/>
        <v>0</v>
      </c>
      <c r="W12" s="416">
        <f t="shared" si="46"/>
        <v>0</v>
      </c>
      <c r="X12" s="416">
        <f t="shared" si="47"/>
        <v>0</v>
      </c>
      <c r="Z12" s="416">
        <f t="shared" si="1"/>
        <v>0</v>
      </c>
      <c r="AA12" s="416">
        <f t="shared" si="2"/>
        <v>0</v>
      </c>
      <c r="AB12" s="416">
        <f t="shared" si="3"/>
        <v>0</v>
      </c>
      <c r="AC12" s="416">
        <f t="shared" si="4"/>
        <v>0</v>
      </c>
      <c r="AD12" s="416">
        <f t="shared" si="5"/>
        <v>0</v>
      </c>
      <c r="AE12" s="416">
        <f t="shared" si="6"/>
        <v>0</v>
      </c>
      <c r="AG12" s="416">
        <f t="shared" si="7"/>
        <v>0</v>
      </c>
      <c r="AH12" s="416">
        <f t="shared" si="8"/>
        <v>0</v>
      </c>
      <c r="AI12" s="416">
        <f t="shared" si="9"/>
        <v>0</v>
      </c>
      <c r="AJ12" s="416">
        <f t="shared" si="10"/>
        <v>0</v>
      </c>
      <c r="AK12" s="416">
        <f t="shared" si="11"/>
        <v>0</v>
      </c>
      <c r="AL12" s="416">
        <f t="shared" si="12"/>
        <v>0</v>
      </c>
      <c r="AM12" s="244"/>
      <c r="AN12" s="416">
        <f t="shared" si="13"/>
        <v>0</v>
      </c>
      <c r="AO12" s="416">
        <f t="shared" si="14"/>
        <v>0</v>
      </c>
      <c r="AP12" s="416">
        <f t="shared" si="15"/>
        <v>0</v>
      </c>
      <c r="AQ12" s="416">
        <f t="shared" si="16"/>
        <v>0</v>
      </c>
      <c r="AR12" s="416">
        <f t="shared" si="17"/>
        <v>0</v>
      </c>
      <c r="AS12" s="416">
        <f t="shared" si="18"/>
        <v>0</v>
      </c>
      <c r="AT12" s="416">
        <f t="shared" si="19"/>
        <v>0</v>
      </c>
      <c r="AV12" s="416">
        <f t="shared" si="20"/>
        <v>0</v>
      </c>
      <c r="AW12" s="416">
        <f t="shared" si="21"/>
        <v>0</v>
      </c>
      <c r="AX12" s="416">
        <f t="shared" si="22"/>
        <v>0</v>
      </c>
      <c r="AY12" s="416">
        <f t="shared" si="23"/>
        <v>0</v>
      </c>
      <c r="AZ12" s="416">
        <f t="shared" si="24"/>
        <v>0</v>
      </c>
      <c r="BA12" s="416">
        <f t="shared" si="25"/>
        <v>0</v>
      </c>
      <c r="BB12" s="416">
        <f t="shared" si="26"/>
        <v>0</v>
      </c>
      <c r="BC12" s="244"/>
      <c r="BD12" s="416">
        <f t="shared" si="27"/>
        <v>0</v>
      </c>
      <c r="BE12" s="416">
        <f t="shared" si="28"/>
        <v>0</v>
      </c>
      <c r="BF12" s="416">
        <f t="shared" si="29"/>
        <v>0</v>
      </c>
      <c r="BG12" s="416">
        <f t="shared" si="30"/>
        <v>0</v>
      </c>
      <c r="BH12" s="416">
        <f t="shared" si="31"/>
        <v>0</v>
      </c>
      <c r="BI12" s="416">
        <f t="shared" si="32"/>
        <v>0</v>
      </c>
      <c r="BJ12" s="416">
        <f t="shared" si="33"/>
        <v>0</v>
      </c>
      <c r="BL12" s="416">
        <f t="shared" si="34"/>
        <v>0</v>
      </c>
      <c r="BM12" s="416">
        <f t="shared" si="35"/>
        <v>0</v>
      </c>
      <c r="BN12" s="416">
        <f t="shared" si="36"/>
        <v>0</v>
      </c>
      <c r="BO12" s="416">
        <f t="shared" si="37"/>
        <v>0</v>
      </c>
      <c r="BP12" s="416">
        <f t="shared" si="38"/>
        <v>0</v>
      </c>
      <c r="BQ12" s="416">
        <f t="shared" si="39"/>
        <v>0</v>
      </c>
      <c r="BR12" s="416">
        <f t="shared" si="40"/>
        <v>0</v>
      </c>
    </row>
    <row r="13" spans="1:70" s="417" customFormat="1" x14ac:dyDescent="0.25">
      <c r="A13" s="649" t="s">
        <v>679</v>
      </c>
      <c r="B13" s="409" t="str">
        <f>'ADO-12'!$B$7</f>
        <v>Personnel occupant les bâtiments communaux</v>
      </c>
      <c r="C13" s="409" t="str">
        <f>'ADO-12'!$B$8</f>
        <v>Sensibilisation aux économies d'énergie</v>
      </c>
      <c r="D13" s="409" t="str">
        <f>'ADO-12'!$C$4</f>
        <v>Territoire</v>
      </c>
      <c r="E13" s="409" t="str">
        <f>'ADO-12'!$B$11</f>
        <v>AC HABAY</v>
      </c>
      <c r="F13" s="409" t="str">
        <f>'ADO-12'!$B$5</f>
        <v>Pas de financement</v>
      </c>
      <c r="G13" s="410">
        <f>'ADO-12'!$B$16</f>
        <v>0</v>
      </c>
      <c r="H13" s="409" t="str">
        <f>'ADO-12'!$B$6</f>
        <v>Pas de subside</v>
      </c>
      <c r="I13" s="410">
        <f>'ADO-12'!$B$17</f>
        <v>0</v>
      </c>
      <c r="J13" s="410">
        <f>'ADO-12'!$B$20</f>
        <v>1</v>
      </c>
      <c r="K13" s="410">
        <f>'ADO-12'!$B$21</f>
        <v>0</v>
      </c>
      <c r="L13" s="419">
        <f>'ADO-12'!$B$23</f>
        <v>0</v>
      </c>
      <c r="M13" s="420">
        <f>'ADO-12'!$B$18/1000</f>
        <v>0</v>
      </c>
      <c r="N13" s="413"/>
      <c r="O13" s="414" t="str">
        <f>'ADO-12'!$E$5</f>
        <v>A faire</v>
      </c>
      <c r="P13" s="421">
        <f>'ADO-12'!$B$15</f>
        <v>2020</v>
      </c>
      <c r="Q13" s="247">
        <f t="shared" si="0"/>
        <v>0</v>
      </c>
      <c r="R13" s="416">
        <f>IF(O13="Terminé",M13,0)</f>
        <v>0</v>
      </c>
      <c r="S13" s="416">
        <f>IF(D13="Agriculture",R13,0)</f>
        <v>0</v>
      </c>
      <c r="T13" s="416">
        <f>IF(D13="Industrie", R13,0)</f>
        <v>0</v>
      </c>
      <c r="U13" s="416">
        <f>IF(D13="Logement", R13,0)</f>
        <v>0</v>
      </c>
      <c r="V13" s="416">
        <f>IF(D13="Tertiaire",R13,0)</f>
        <v>0</v>
      </c>
      <c r="W13" s="416">
        <f>IF(D13="Transport",R13,0)</f>
        <v>0</v>
      </c>
      <c r="X13" s="416">
        <f>IF(D13="Communal",R13,0)</f>
        <v>0</v>
      </c>
      <c r="Z13" s="416">
        <f t="shared" si="1"/>
        <v>0</v>
      </c>
      <c r="AA13" s="416">
        <f t="shared" si="2"/>
        <v>0</v>
      </c>
      <c r="AB13" s="416">
        <f t="shared" si="3"/>
        <v>0</v>
      </c>
      <c r="AC13" s="416">
        <f t="shared" si="4"/>
        <v>0</v>
      </c>
      <c r="AD13" s="416">
        <f t="shared" si="5"/>
        <v>0</v>
      </c>
      <c r="AE13" s="416">
        <f t="shared" si="6"/>
        <v>0</v>
      </c>
      <c r="AG13" s="416">
        <f t="shared" si="7"/>
        <v>0</v>
      </c>
      <c r="AH13" s="416">
        <f t="shared" si="8"/>
        <v>0</v>
      </c>
      <c r="AI13" s="416">
        <f t="shared" si="9"/>
        <v>0</v>
      </c>
      <c r="AJ13" s="416">
        <f t="shared" si="10"/>
        <v>0</v>
      </c>
      <c r="AK13" s="416">
        <f t="shared" si="11"/>
        <v>0</v>
      </c>
      <c r="AL13" s="416">
        <f t="shared" si="12"/>
        <v>0</v>
      </c>
      <c r="AM13" s="244"/>
      <c r="AN13" s="416">
        <f t="shared" si="13"/>
        <v>0</v>
      </c>
      <c r="AO13" s="416">
        <f t="shared" si="14"/>
        <v>0</v>
      </c>
      <c r="AP13" s="416">
        <f t="shared" si="15"/>
        <v>0</v>
      </c>
      <c r="AQ13" s="416">
        <f t="shared" si="16"/>
        <v>0</v>
      </c>
      <c r="AR13" s="416">
        <f t="shared" si="17"/>
        <v>0</v>
      </c>
      <c r="AS13" s="416">
        <f t="shared" si="18"/>
        <v>0</v>
      </c>
      <c r="AT13" s="416">
        <f t="shared" si="19"/>
        <v>0</v>
      </c>
      <c r="AV13" s="416">
        <f t="shared" si="20"/>
        <v>0</v>
      </c>
      <c r="AW13" s="416">
        <f t="shared" si="21"/>
        <v>0</v>
      </c>
      <c r="AX13" s="416">
        <f t="shared" si="22"/>
        <v>0</v>
      </c>
      <c r="AY13" s="416">
        <f t="shared" si="23"/>
        <v>0</v>
      </c>
      <c r="AZ13" s="416">
        <f t="shared" si="24"/>
        <v>0</v>
      </c>
      <c r="BA13" s="416">
        <f t="shared" si="25"/>
        <v>0</v>
      </c>
      <c r="BB13" s="416">
        <f t="shared" si="26"/>
        <v>0</v>
      </c>
      <c r="BC13" s="244"/>
      <c r="BD13" s="416">
        <f t="shared" si="27"/>
        <v>1</v>
      </c>
      <c r="BE13" s="416">
        <f t="shared" si="28"/>
        <v>0</v>
      </c>
      <c r="BF13" s="416">
        <f t="shared" si="29"/>
        <v>0</v>
      </c>
      <c r="BG13" s="416">
        <f t="shared" si="30"/>
        <v>0</v>
      </c>
      <c r="BH13" s="416">
        <f t="shared" si="31"/>
        <v>0</v>
      </c>
      <c r="BI13" s="416">
        <f t="shared" si="32"/>
        <v>0</v>
      </c>
      <c r="BJ13" s="416">
        <f t="shared" si="33"/>
        <v>0</v>
      </c>
      <c r="BL13" s="416">
        <f t="shared" si="34"/>
        <v>0</v>
      </c>
      <c r="BM13" s="416">
        <f t="shared" si="35"/>
        <v>0</v>
      </c>
      <c r="BN13" s="416">
        <f t="shared" si="36"/>
        <v>0</v>
      </c>
      <c r="BO13" s="416">
        <f t="shared" si="37"/>
        <v>0</v>
      </c>
      <c r="BP13" s="416">
        <f t="shared" si="38"/>
        <v>0</v>
      </c>
      <c r="BQ13" s="416">
        <f t="shared" si="39"/>
        <v>0</v>
      </c>
      <c r="BR13" s="416">
        <f t="shared" si="40"/>
        <v>0</v>
      </c>
    </row>
    <row r="14" spans="1:70" s="417" customFormat="1" x14ac:dyDescent="0.25">
      <c r="A14" s="649" t="s">
        <v>682</v>
      </c>
      <c r="B14" s="409" t="str">
        <f>'ADO-13'!$B$7</f>
        <v>Ecoles</v>
      </c>
      <c r="C14" s="409" t="str">
        <f>'ADO-13'!$B$8</f>
        <v>Sensibilisation des écoles</v>
      </c>
      <c r="D14" s="409" t="str">
        <f>'ADO-13'!$C$4</f>
        <v>Communal</v>
      </c>
      <c r="E14" s="409" t="str">
        <f>'ADO-13'!$B$11</f>
        <v>AC HABAY</v>
      </c>
      <c r="F14" s="409" t="str">
        <f>'ADO-13'!$B$5</f>
        <v>Fonds propres</v>
      </c>
      <c r="G14" s="410">
        <f>'ADO-13'!$B$16</f>
        <v>2000</v>
      </c>
      <c r="H14" s="409" t="str">
        <f>'ADO-13'!$B$6</f>
        <v>Pas de subside</v>
      </c>
      <c r="I14" s="410">
        <f>'ADO-13'!$B$17</f>
        <v>0</v>
      </c>
      <c r="J14" s="410">
        <f>'ADO-13'!$B$20</f>
        <v>1</v>
      </c>
      <c r="K14" s="410">
        <f>'ADO-13'!$B$21</f>
        <v>0</v>
      </c>
      <c r="L14" s="419">
        <f>'ADO-13'!$B$23</f>
        <v>2000</v>
      </c>
      <c r="M14" s="420">
        <f>'ADO-13'!$B$18/1000</f>
        <v>100</v>
      </c>
      <c r="N14" s="413"/>
      <c r="O14" s="414" t="str">
        <f>'ADO-13'!$E$5</f>
        <v>En cours</v>
      </c>
      <c r="P14" s="421">
        <f>'ADO-13'!$B$15</f>
        <v>2020</v>
      </c>
      <c r="Q14" s="247">
        <f t="shared" si="0"/>
        <v>0</v>
      </c>
      <c r="R14" s="416">
        <f>IF(O14="Terminé",M14,0)</f>
        <v>0</v>
      </c>
      <c r="S14" s="416">
        <f>IF(D14="Agriculture",R14,0)</f>
        <v>0</v>
      </c>
      <c r="T14" s="416">
        <f>IF(D14="Industrie", R14,0)</f>
        <v>0</v>
      </c>
      <c r="U14" s="416">
        <f>IF(D14="Logement", R14,0)</f>
        <v>0</v>
      </c>
      <c r="V14" s="416">
        <f>IF(D14="Tertiaire",R14,0)</f>
        <v>0</v>
      </c>
      <c r="W14" s="416">
        <f>IF(D14="Transport",R14,0)</f>
        <v>0</v>
      </c>
      <c r="X14" s="416">
        <f>IF(D14="Communal",R14,0)</f>
        <v>0</v>
      </c>
      <c r="Z14" s="416">
        <f t="shared" si="1"/>
        <v>0</v>
      </c>
      <c r="AA14" s="416">
        <f t="shared" si="2"/>
        <v>0</v>
      </c>
      <c r="AB14" s="416">
        <f t="shared" si="3"/>
        <v>0</v>
      </c>
      <c r="AC14" s="416">
        <f t="shared" si="4"/>
        <v>0</v>
      </c>
      <c r="AD14" s="416">
        <f t="shared" si="5"/>
        <v>0</v>
      </c>
      <c r="AE14" s="416">
        <f t="shared" si="6"/>
        <v>0</v>
      </c>
      <c r="AG14" s="416">
        <f t="shared" si="7"/>
        <v>0</v>
      </c>
      <c r="AH14" s="416">
        <f t="shared" si="8"/>
        <v>0</v>
      </c>
      <c r="AI14" s="416">
        <f t="shared" si="9"/>
        <v>0</v>
      </c>
      <c r="AJ14" s="416">
        <f t="shared" si="10"/>
        <v>0</v>
      </c>
      <c r="AK14" s="416">
        <f t="shared" si="11"/>
        <v>0</v>
      </c>
      <c r="AL14" s="416">
        <f t="shared" si="12"/>
        <v>0</v>
      </c>
      <c r="AM14" s="244"/>
      <c r="AN14" s="416">
        <f t="shared" si="13"/>
        <v>0</v>
      </c>
      <c r="AO14" s="416">
        <f t="shared" si="14"/>
        <v>0</v>
      </c>
      <c r="AP14" s="416">
        <f t="shared" si="15"/>
        <v>0</v>
      </c>
      <c r="AQ14" s="416">
        <f t="shared" si="16"/>
        <v>0</v>
      </c>
      <c r="AR14" s="416">
        <f t="shared" si="17"/>
        <v>0</v>
      </c>
      <c r="AS14" s="416">
        <f t="shared" si="18"/>
        <v>0</v>
      </c>
      <c r="AT14" s="416">
        <f t="shared" si="19"/>
        <v>0</v>
      </c>
      <c r="AV14" s="416">
        <f t="shared" si="20"/>
        <v>0</v>
      </c>
      <c r="AW14" s="416">
        <f t="shared" si="21"/>
        <v>0</v>
      </c>
      <c r="AX14" s="416">
        <f t="shared" si="22"/>
        <v>0</v>
      </c>
      <c r="AY14" s="416">
        <f t="shared" si="23"/>
        <v>0</v>
      </c>
      <c r="AZ14" s="416">
        <f t="shared" si="24"/>
        <v>0</v>
      </c>
      <c r="BA14" s="416">
        <f t="shared" si="25"/>
        <v>0</v>
      </c>
      <c r="BB14" s="416">
        <f t="shared" si="26"/>
        <v>0</v>
      </c>
      <c r="BC14" s="244"/>
      <c r="BD14" s="416">
        <f t="shared" si="27"/>
        <v>0</v>
      </c>
      <c r="BE14" s="416">
        <f t="shared" si="28"/>
        <v>0</v>
      </c>
      <c r="BF14" s="416">
        <f t="shared" si="29"/>
        <v>0</v>
      </c>
      <c r="BG14" s="416">
        <f t="shared" si="30"/>
        <v>0</v>
      </c>
      <c r="BH14" s="416">
        <f t="shared" si="31"/>
        <v>0</v>
      </c>
      <c r="BI14" s="416">
        <f t="shared" si="32"/>
        <v>0</v>
      </c>
      <c r="BJ14" s="416">
        <f t="shared" si="33"/>
        <v>0</v>
      </c>
      <c r="BL14" s="416">
        <f t="shared" si="34"/>
        <v>0</v>
      </c>
      <c r="BM14" s="416">
        <f t="shared" si="35"/>
        <v>0</v>
      </c>
      <c r="BN14" s="416">
        <f t="shared" si="36"/>
        <v>0</v>
      </c>
      <c r="BO14" s="416">
        <f t="shared" si="37"/>
        <v>0</v>
      </c>
      <c r="BP14" s="416">
        <f t="shared" si="38"/>
        <v>0</v>
      </c>
      <c r="BQ14" s="416">
        <f t="shared" si="39"/>
        <v>0</v>
      </c>
      <c r="BR14" s="416">
        <f t="shared" si="40"/>
        <v>0</v>
      </c>
    </row>
    <row r="15" spans="1:70" s="417" customFormat="1" x14ac:dyDescent="0.25">
      <c r="A15" s="649" t="s">
        <v>684</v>
      </c>
      <c r="B15" s="409" t="str">
        <f>'ADO-14'!$B$7</f>
        <v>Bâtiments communaux</v>
      </c>
      <c r="C15" s="409" t="str">
        <f>'ADO-14'!$B$8</f>
        <v>Chasse aux gaspis - chaleur</v>
      </c>
      <c r="D15" s="409" t="str">
        <f>'ADO-14'!$C$4</f>
        <v>Communal</v>
      </c>
      <c r="E15" s="409" t="str">
        <f>'ADO-14'!$B$11</f>
        <v>AC HABAY</v>
      </c>
      <c r="F15" s="409" t="str">
        <f>'ADO-14'!$B$5</f>
        <v>Fonds propres</v>
      </c>
      <c r="G15" s="410">
        <f>'ADO-14'!$B$16</f>
        <v>2000</v>
      </c>
      <c r="H15" s="409" t="str">
        <f>'ADO-14'!$B$6</f>
        <v>Pas de subside</v>
      </c>
      <c r="I15" s="410">
        <f>'ADO-14'!$B$17</f>
        <v>0</v>
      </c>
      <c r="J15" s="410">
        <f>'ADO-14'!$B$20</f>
        <v>1</v>
      </c>
      <c r="K15" s="410">
        <f>'ADO-14'!$B$21</f>
        <v>0</v>
      </c>
      <c r="L15" s="419">
        <f>'ADO-14'!$B$23</f>
        <v>2000</v>
      </c>
      <c r="M15" s="420">
        <f>'ADO-14'!$B$18/1000</f>
        <v>200</v>
      </c>
      <c r="N15" s="413"/>
      <c r="O15" s="414" t="str">
        <f>'ADO-14'!$E$5</f>
        <v>En cours</v>
      </c>
      <c r="P15" s="421">
        <f>'ADO-14'!$B$15</f>
        <v>2020</v>
      </c>
      <c r="Q15" s="247">
        <f t="shared" si="0"/>
        <v>0</v>
      </c>
      <c r="R15" s="416">
        <f>IF(O15="Terminé",M15,0)</f>
        <v>0</v>
      </c>
      <c r="S15" s="416">
        <f>IF(D15="Agriculture",R15,0)</f>
        <v>0</v>
      </c>
      <c r="T15" s="416">
        <f>IF(D15="Industrie", R15,0)</f>
        <v>0</v>
      </c>
      <c r="U15" s="416">
        <f>IF(D15="Logement", R15,0)</f>
        <v>0</v>
      </c>
      <c r="V15" s="416">
        <f>IF(D15="Tertiaire",R15,0)</f>
        <v>0</v>
      </c>
      <c r="W15" s="416">
        <f>IF(D15="Transport",R15,0)</f>
        <v>0</v>
      </c>
      <c r="X15" s="416">
        <f>IF(D15="Communal",R15,0)</f>
        <v>0</v>
      </c>
      <c r="Z15" s="416">
        <f t="shared" si="1"/>
        <v>0</v>
      </c>
      <c r="AA15" s="416">
        <f t="shared" si="2"/>
        <v>0</v>
      </c>
      <c r="AB15" s="416">
        <f t="shared" si="3"/>
        <v>0</v>
      </c>
      <c r="AC15" s="416">
        <f t="shared" si="4"/>
        <v>0</v>
      </c>
      <c r="AD15" s="416">
        <f t="shared" si="5"/>
        <v>0</v>
      </c>
      <c r="AE15" s="416">
        <f t="shared" si="6"/>
        <v>0</v>
      </c>
      <c r="AG15" s="416">
        <f t="shared" si="7"/>
        <v>0</v>
      </c>
      <c r="AH15" s="416">
        <f t="shared" si="8"/>
        <v>0</v>
      </c>
      <c r="AI15" s="416">
        <f t="shared" si="9"/>
        <v>0</v>
      </c>
      <c r="AJ15" s="416">
        <f t="shared" si="10"/>
        <v>0</v>
      </c>
      <c r="AK15" s="416">
        <f t="shared" si="11"/>
        <v>0</v>
      </c>
      <c r="AL15" s="416">
        <f t="shared" si="12"/>
        <v>0</v>
      </c>
      <c r="AM15" s="244"/>
      <c r="AN15" s="416">
        <f t="shared" si="13"/>
        <v>0</v>
      </c>
      <c r="AO15" s="416">
        <f t="shared" si="14"/>
        <v>0</v>
      </c>
      <c r="AP15" s="416">
        <f t="shared" si="15"/>
        <v>0</v>
      </c>
      <c r="AQ15" s="416">
        <f t="shared" si="16"/>
        <v>0</v>
      </c>
      <c r="AR15" s="416">
        <f t="shared" si="17"/>
        <v>0</v>
      </c>
      <c r="AS15" s="416">
        <f t="shared" si="18"/>
        <v>0</v>
      </c>
      <c r="AT15" s="416">
        <f t="shared" si="19"/>
        <v>0</v>
      </c>
      <c r="AV15" s="416">
        <f t="shared" si="20"/>
        <v>0</v>
      </c>
      <c r="AW15" s="416">
        <f t="shared" si="21"/>
        <v>0</v>
      </c>
      <c r="AX15" s="416">
        <f t="shared" si="22"/>
        <v>0</v>
      </c>
      <c r="AY15" s="416">
        <f t="shared" si="23"/>
        <v>0</v>
      </c>
      <c r="AZ15" s="416">
        <f t="shared" si="24"/>
        <v>0</v>
      </c>
      <c r="BA15" s="416">
        <f t="shared" si="25"/>
        <v>0</v>
      </c>
      <c r="BB15" s="416">
        <f t="shared" si="26"/>
        <v>0</v>
      </c>
      <c r="BC15" s="244"/>
      <c r="BD15" s="416">
        <f t="shared" si="27"/>
        <v>0</v>
      </c>
      <c r="BE15" s="416">
        <f t="shared" si="28"/>
        <v>0</v>
      </c>
      <c r="BF15" s="416">
        <f t="shared" si="29"/>
        <v>0</v>
      </c>
      <c r="BG15" s="416">
        <f t="shared" si="30"/>
        <v>0</v>
      </c>
      <c r="BH15" s="416">
        <f t="shared" si="31"/>
        <v>0</v>
      </c>
      <c r="BI15" s="416">
        <f t="shared" si="32"/>
        <v>0</v>
      </c>
      <c r="BJ15" s="416">
        <f t="shared" si="33"/>
        <v>0</v>
      </c>
      <c r="BL15" s="416">
        <f t="shared" si="34"/>
        <v>0</v>
      </c>
      <c r="BM15" s="416">
        <f t="shared" si="35"/>
        <v>0</v>
      </c>
      <c r="BN15" s="416">
        <f t="shared" si="36"/>
        <v>0</v>
      </c>
      <c r="BO15" s="416">
        <f t="shared" si="37"/>
        <v>0</v>
      </c>
      <c r="BP15" s="416">
        <f t="shared" si="38"/>
        <v>0</v>
      </c>
      <c r="BQ15" s="416">
        <f t="shared" si="39"/>
        <v>0</v>
      </c>
      <c r="BR15" s="416">
        <f t="shared" si="40"/>
        <v>0</v>
      </c>
    </row>
    <row r="16" spans="1:70" s="417" customFormat="1" x14ac:dyDescent="0.25">
      <c r="A16" s="649" t="s">
        <v>688</v>
      </c>
      <c r="B16" s="409" t="str">
        <f>'ADO-15'!$B$7</f>
        <v>Bâtiments communaux</v>
      </c>
      <c r="C16" s="409" t="str">
        <f>'ADO-15'!$B$8</f>
        <v>Chasse aux gaspis - électricité</v>
      </c>
      <c r="D16" s="409" t="str">
        <f>'ADO-15'!$C$4</f>
        <v>Communal</v>
      </c>
      <c r="E16" s="409" t="str">
        <f>'ADO-15'!$B$11</f>
        <v>AC HABAY</v>
      </c>
      <c r="F16" s="409" t="str">
        <f>'ADO-15'!$B$5</f>
        <v>Fonds propres</v>
      </c>
      <c r="G16" s="410">
        <f>'ADO-15'!$B$16</f>
        <v>2000</v>
      </c>
      <c r="H16" s="409" t="str">
        <f>'ADO-15'!$B$6</f>
        <v>Pas de subside</v>
      </c>
      <c r="I16" s="410">
        <f>'ADO-15'!$B$17</f>
        <v>0</v>
      </c>
      <c r="J16" s="410">
        <f>'ADO-15'!$B$20</f>
        <v>1</v>
      </c>
      <c r="K16" s="410">
        <f>'ADO-15'!$B$21</f>
        <v>0</v>
      </c>
      <c r="L16" s="419">
        <f>'ADO-15'!$B$23</f>
        <v>2000</v>
      </c>
      <c r="M16" s="420">
        <f>'ADO-15'!$B$18/1000</f>
        <v>200</v>
      </c>
      <c r="N16" s="413"/>
      <c r="O16" s="414" t="str">
        <f>'ADO-15'!$E$5</f>
        <v>A faire</v>
      </c>
      <c r="P16" s="421">
        <f>'ADO-15'!$B$15</f>
        <v>2020</v>
      </c>
      <c r="Q16" s="247">
        <f t="shared" si="0"/>
        <v>0</v>
      </c>
      <c r="R16" s="416">
        <f>IF(O16="Terminé",M16,0)</f>
        <v>0</v>
      </c>
      <c r="S16" s="416">
        <f>IF(D16="Agriculture",R16,0)</f>
        <v>0</v>
      </c>
      <c r="T16" s="416">
        <f>IF(D16="Industrie", R16,0)</f>
        <v>0</v>
      </c>
      <c r="U16" s="416">
        <f>IF(D16="Logement", R16,0)</f>
        <v>0</v>
      </c>
      <c r="V16" s="416">
        <f>IF(D16="Tertiaire",R16,0)</f>
        <v>0</v>
      </c>
      <c r="W16" s="416">
        <f>IF(D16="Transport",R16,0)</f>
        <v>0</v>
      </c>
      <c r="X16" s="416">
        <f>IF(D16="Communal",R16,0)</f>
        <v>0</v>
      </c>
      <c r="Z16" s="416">
        <f t="shared" si="1"/>
        <v>0</v>
      </c>
      <c r="AA16" s="416">
        <f t="shared" si="2"/>
        <v>0</v>
      </c>
      <c r="AB16" s="416">
        <f t="shared" si="3"/>
        <v>0</v>
      </c>
      <c r="AC16" s="416">
        <f t="shared" si="4"/>
        <v>0</v>
      </c>
      <c r="AD16" s="416">
        <f t="shared" si="5"/>
        <v>2000</v>
      </c>
      <c r="AE16" s="416">
        <f t="shared" si="6"/>
        <v>0</v>
      </c>
      <c r="AG16" s="416">
        <f t="shared" si="7"/>
        <v>0</v>
      </c>
      <c r="AH16" s="416">
        <f t="shared" si="8"/>
        <v>0</v>
      </c>
      <c r="AI16" s="416">
        <f t="shared" si="9"/>
        <v>0</v>
      </c>
      <c r="AJ16" s="416">
        <f t="shared" si="10"/>
        <v>0</v>
      </c>
      <c r="AK16" s="416">
        <f t="shared" si="11"/>
        <v>0</v>
      </c>
      <c r="AL16" s="416">
        <f t="shared" si="12"/>
        <v>0</v>
      </c>
      <c r="AM16" s="244"/>
      <c r="AN16" s="416">
        <f t="shared" si="13"/>
        <v>0</v>
      </c>
      <c r="AO16" s="416">
        <f t="shared" si="14"/>
        <v>0</v>
      </c>
      <c r="AP16" s="416">
        <f t="shared" si="15"/>
        <v>0</v>
      </c>
      <c r="AQ16" s="416">
        <f t="shared" si="16"/>
        <v>0</v>
      </c>
      <c r="AR16" s="416">
        <f t="shared" si="17"/>
        <v>0</v>
      </c>
      <c r="AS16" s="416">
        <f t="shared" si="18"/>
        <v>0</v>
      </c>
      <c r="AT16" s="416">
        <f t="shared" si="19"/>
        <v>2000</v>
      </c>
      <c r="AV16" s="416">
        <f t="shared" si="20"/>
        <v>0</v>
      </c>
      <c r="AW16" s="416">
        <f t="shared" si="21"/>
        <v>0</v>
      </c>
      <c r="AX16" s="416">
        <f t="shared" si="22"/>
        <v>0</v>
      </c>
      <c r="AY16" s="416">
        <f t="shared" si="23"/>
        <v>0</v>
      </c>
      <c r="AZ16" s="416">
        <f t="shared" si="24"/>
        <v>0</v>
      </c>
      <c r="BA16" s="416">
        <f t="shared" si="25"/>
        <v>0</v>
      </c>
      <c r="BB16" s="416">
        <f t="shared" si="26"/>
        <v>0</v>
      </c>
      <c r="BC16" s="244"/>
      <c r="BD16" s="416">
        <f t="shared" si="27"/>
        <v>0</v>
      </c>
      <c r="BE16" s="416">
        <f t="shared" si="28"/>
        <v>0</v>
      </c>
      <c r="BF16" s="416">
        <f t="shared" si="29"/>
        <v>0</v>
      </c>
      <c r="BG16" s="416">
        <f t="shared" si="30"/>
        <v>0</v>
      </c>
      <c r="BH16" s="416">
        <f t="shared" si="31"/>
        <v>0</v>
      </c>
      <c r="BI16" s="416">
        <f t="shared" si="32"/>
        <v>0</v>
      </c>
      <c r="BJ16" s="416">
        <f t="shared" si="33"/>
        <v>1</v>
      </c>
      <c r="BL16" s="416">
        <f t="shared" si="34"/>
        <v>0</v>
      </c>
      <c r="BM16" s="416">
        <f t="shared" si="35"/>
        <v>0</v>
      </c>
      <c r="BN16" s="416">
        <f t="shared" si="36"/>
        <v>0</v>
      </c>
      <c r="BO16" s="416">
        <f t="shared" si="37"/>
        <v>0</v>
      </c>
      <c r="BP16" s="416">
        <f t="shared" si="38"/>
        <v>0</v>
      </c>
      <c r="BQ16" s="416">
        <f t="shared" si="39"/>
        <v>0</v>
      </c>
      <c r="BR16" s="416">
        <f t="shared" si="40"/>
        <v>0</v>
      </c>
    </row>
    <row r="17" spans="1:70" s="417" customFormat="1" x14ac:dyDescent="0.25">
      <c r="A17" s="649" t="s">
        <v>907</v>
      </c>
      <c r="B17" s="409" t="str">
        <f>'ADO-16'!$B$7</f>
        <v>Grand public</v>
      </c>
      <c r="C17" s="409" t="str">
        <f>'ADO-16'!$B$8</f>
        <v>Incitants</v>
      </c>
      <c r="D17" s="409" t="str">
        <f>'ADO-16'!$C$4</f>
        <v>Territoire</v>
      </c>
      <c r="E17" s="409" t="str">
        <f>'ADO-16'!$B$11</f>
        <v>AC HABAY</v>
      </c>
      <c r="F17" s="409" t="str">
        <f>'ADO-16'!$B$5</f>
        <v>Fonds propres</v>
      </c>
      <c r="G17" s="410">
        <f>'ADO-16'!$B$16</f>
        <v>2000</v>
      </c>
      <c r="H17" s="409" t="str">
        <f>'ADO-16'!$B$6</f>
        <v>Pas de subside</v>
      </c>
      <c r="I17" s="410">
        <f>'ADO-16'!$B$17</f>
        <v>0</v>
      </c>
      <c r="J17" s="410">
        <f>'ADO-16'!$B$20</f>
        <v>1</v>
      </c>
      <c r="K17" s="410">
        <f>'ADO-16'!$B$21</f>
        <v>0</v>
      </c>
      <c r="L17" s="419">
        <f>'ADO-16'!$B$23</f>
        <v>2000</v>
      </c>
      <c r="M17" s="420">
        <f>'ADO-16'!$B$24</f>
        <v>23.4</v>
      </c>
      <c r="N17" s="413"/>
      <c r="O17" s="414" t="str">
        <f>'ADO-16'!$E$5</f>
        <v>A faire</v>
      </c>
      <c r="P17" s="421">
        <f>'ADO-16'!$B$15</f>
        <v>2020</v>
      </c>
      <c r="Q17" s="247">
        <f t="shared" ref="Q17:Q18" si="48">IF(O17="Terminé",M17,0)</f>
        <v>0</v>
      </c>
      <c r="R17" s="416">
        <f t="shared" ref="R17:R18" si="49">IF(O17="Terminé",M17,0)</f>
        <v>0</v>
      </c>
      <c r="S17" s="416">
        <f t="shared" ref="S17:S18" si="50">IF(D17="Agriculture",R17,0)</f>
        <v>0</v>
      </c>
      <c r="T17" s="416">
        <f t="shared" ref="T17:T18" si="51">IF(D17="Industrie", R17,0)</f>
        <v>0</v>
      </c>
      <c r="U17" s="416">
        <f t="shared" ref="U17:U18" si="52">IF(D17="Logement", R17,0)</f>
        <v>0</v>
      </c>
      <c r="V17" s="416">
        <f t="shared" ref="V17:V18" si="53">IF(D17="Tertiaire",R17,0)</f>
        <v>0</v>
      </c>
      <c r="W17" s="416">
        <f t="shared" ref="W17:W18" si="54">IF(D17="Transport",R17,0)</f>
        <v>0</v>
      </c>
      <c r="X17" s="416">
        <f t="shared" ref="X17:X18" si="55">IF(D17="Communal",R17,0)</f>
        <v>0</v>
      </c>
      <c r="Z17" s="416">
        <f t="shared" ref="Z17:Z18" si="56">IF((O17="A faire")*AND(E17="Agriculture"),G17,0)</f>
        <v>0</v>
      </c>
      <c r="AA17" s="416">
        <f t="shared" ref="AA17:AA18" si="57">IF((O17="A faire")*AND(E17="Industrie"),G17,0)</f>
        <v>0</v>
      </c>
      <c r="AB17" s="416">
        <f t="shared" ref="AB17:AB18" si="58">IF((O17="A faire")*AND(E17="Citoyen"),G17,0)</f>
        <v>0</v>
      </c>
      <c r="AC17" s="416">
        <f t="shared" ref="AC17:AC18" si="59">IF((O17="A faire")*AND(E17="IDELUX"),G17,0)</f>
        <v>0</v>
      </c>
      <c r="AD17" s="416">
        <f t="shared" ref="AD17:AD18" si="60">IF((O17="A faire")*AND(E17="AC HABAY"),G17,0)</f>
        <v>2000</v>
      </c>
      <c r="AE17" s="416">
        <f t="shared" ref="AE17:AE18" si="61">IF((O17="A faire")*AND(E17="Tertiaire"),G17,0)</f>
        <v>0</v>
      </c>
      <c r="AG17" s="416">
        <f t="shared" ref="AG17:AG18" si="62">IF((O17="A faire")*AND(E17="Agriculture"),I17,0)</f>
        <v>0</v>
      </c>
      <c r="AH17" s="416">
        <f t="shared" ref="AH17:AH18" si="63">IF((O17="A faire")*AND(E17="Industrie"),I17,0)</f>
        <v>0</v>
      </c>
      <c r="AI17" s="416">
        <f t="shared" ref="AI17:AI18" si="64">IF((O17="A faire")*AND(E17="Citoyen"),I17,0)</f>
        <v>0</v>
      </c>
      <c r="AJ17" s="416">
        <f t="shared" ref="AJ17:AJ18" si="65">IF((O17="A faire")*AND(E17="IDELUX"),I17,0)</f>
        <v>0</v>
      </c>
      <c r="AK17" s="416">
        <f t="shared" ref="AK17:AK18" si="66">IF((O17="A faire")*AND(E17="AC HABAY"),I17,0)</f>
        <v>0</v>
      </c>
      <c r="AL17" s="416">
        <f t="shared" ref="AL17:AL18" si="67">IF((O17="A faire")*AND(E17="Tertiaire"),I17,0)</f>
        <v>0</v>
      </c>
      <c r="AM17" s="244"/>
      <c r="AN17" s="416">
        <f t="shared" ref="AN17:AN18" si="68">IF((O17="A faire")*AND(D17="Territoire"),G17,0)</f>
        <v>2000</v>
      </c>
      <c r="AO17" s="416">
        <f t="shared" ref="AO17:AO18" si="69">IF((O17="A faire")*AND(D17="Agriculture"),G17,0)</f>
        <v>0</v>
      </c>
      <c r="AP17" s="416">
        <f t="shared" ref="AP17:AP18" si="70">IF((O17="A faire")*AND(D17="Industrie"),G17,0)</f>
        <v>0</v>
      </c>
      <c r="AQ17" s="416">
        <f t="shared" ref="AQ17:AQ18" si="71">IF((O17="A faire")*AND(D17="Logement"),G17,0)</f>
        <v>0</v>
      </c>
      <c r="AR17" s="416">
        <f t="shared" ref="AR17:AR18" si="72">IF((O17="A faire")*AND(D17="Tertiaire"),G17,0)</f>
        <v>0</v>
      </c>
      <c r="AS17" s="416">
        <f t="shared" ref="AS17:AS18" si="73">IF((O17="A faire")*AND(D17="Transport"),G17,0)</f>
        <v>0</v>
      </c>
      <c r="AT17" s="416">
        <f t="shared" ref="AT17:AT18" si="74">IF((O17="A faire")*AND(D17="Communal"),G17,0)</f>
        <v>0</v>
      </c>
      <c r="AV17" s="416">
        <f t="shared" ref="AV17:AV18" si="75">IF((O17="A faire")*AND(D17="Territoire"),I17,0)</f>
        <v>0</v>
      </c>
      <c r="AW17" s="416">
        <f t="shared" ref="AW17:AW18" si="76">IF((O17="A faire")*AND(D17="Agriculture"),I17,0)</f>
        <v>0</v>
      </c>
      <c r="AX17" s="416">
        <f t="shared" ref="AX17:AX18" si="77">IF((O17="A faire")*AND(D17="Industrie"),I17,0)</f>
        <v>0</v>
      </c>
      <c r="AY17" s="416">
        <f t="shared" ref="AY17:AY18" si="78">IF((O17="A faire")*AND(D17="Logement"),I17,0)</f>
        <v>0</v>
      </c>
      <c r="AZ17" s="416">
        <f t="shared" ref="AZ17:AZ18" si="79">IF((O17="A faire")*AND(D17="Tertiaire"),I17,0)</f>
        <v>0</v>
      </c>
      <c r="BA17" s="416">
        <f t="shared" ref="BA17:BA18" si="80">IF((O17="A faire")*AND(D17="Transport"),I17,0)</f>
        <v>0</v>
      </c>
      <c r="BB17" s="416">
        <f t="shared" ref="BB17:BB18" si="81">IF((O17="A faire")*AND(D17="Communal"),I17,0)</f>
        <v>0</v>
      </c>
      <c r="BC17" s="244"/>
      <c r="BD17" s="416">
        <f t="shared" ref="BD17:BD18" si="82">IF((O17="A faire")*AND(D17="Territoire"),J17,0)</f>
        <v>1</v>
      </c>
      <c r="BE17" s="416">
        <f t="shared" ref="BE17:BE18" si="83">IF((O17="A faire")*AND(D17="Agriculture"),J17,0)</f>
        <v>0</v>
      </c>
      <c r="BF17" s="416">
        <f t="shared" ref="BF17:BF18" si="84">IF((O17="A faire")*AND(D17="Industrie"),J17,0)</f>
        <v>0</v>
      </c>
      <c r="BG17" s="416">
        <f t="shared" ref="BG17:BG18" si="85">IF((O17="A faire")*AND(D17="Logement"),J17,0)</f>
        <v>0</v>
      </c>
      <c r="BH17" s="416">
        <f t="shared" ref="BH17:BH18" si="86">IF((O17="A faire")*AND(D17="Tertiaire"),2,0)</f>
        <v>0</v>
      </c>
      <c r="BI17" s="416">
        <f t="shared" ref="BI17:BI18" si="87">IF((O17="A faire")*AND(D17="Transport"),J17,0)</f>
        <v>0</v>
      </c>
      <c r="BJ17" s="416">
        <f t="shared" ref="BJ17:BJ18" si="88">IF((O17="A faire")*AND(D17="Communal"),J17,0)</f>
        <v>0</v>
      </c>
      <c r="BL17" s="416">
        <f t="shared" ref="BL17:BL18" si="89">IF((O17="A faire")*AND(D17="Territoire"),K17,0)</f>
        <v>0</v>
      </c>
      <c r="BM17" s="416">
        <f t="shared" ref="BM17:BM18" si="90">IF((O17="A faire")*AND(D17="Agriculture"),K17,0)</f>
        <v>0</v>
      </c>
      <c r="BN17" s="416">
        <f t="shared" ref="BN17:BN18" si="91">IF((O17="A faire")*AND(D17="Industrie"),K17,0)</f>
        <v>0</v>
      </c>
      <c r="BO17" s="416">
        <f t="shared" ref="BO17:BO18" si="92">IF((O17="A faire")*AND(D17="Logement"),K17,0)</f>
        <v>0</v>
      </c>
      <c r="BP17" s="416">
        <f t="shared" ref="BP17:BP18" si="93">IF((O17="A faire")*AND(D17="Tertiaire"),K17,0)</f>
        <v>0</v>
      </c>
      <c r="BQ17" s="416">
        <f t="shared" ref="BQ17:BQ18" si="94">IF((O17="A faire")*AND(D17="Transport"),K17,0)</f>
        <v>0</v>
      </c>
      <c r="BR17" s="416">
        <f t="shared" ref="BR17:BR18" si="95">IF((O17="A faire")*AND(D17="Communal"),K17,0)</f>
        <v>0</v>
      </c>
    </row>
    <row r="18" spans="1:70" s="417" customFormat="1" x14ac:dyDescent="0.25">
      <c r="A18" s="649" t="s">
        <v>908</v>
      </c>
      <c r="B18" s="409" t="str">
        <f>'ADO-17'!$B$7</f>
        <v>Grand public</v>
      </c>
      <c r="C18" s="409" t="str">
        <f>'ADO-17'!$B$8</f>
        <v>Semaine Mobilité</v>
      </c>
      <c r="D18" s="409" t="str">
        <f>'ADO-17'!$C$4</f>
        <v>Territoire</v>
      </c>
      <c r="E18" s="409" t="str">
        <f>'ADO-17'!$B$11</f>
        <v>AC HABAY</v>
      </c>
      <c r="F18" s="409" t="str">
        <f>'ADO-17'!$B$5</f>
        <v>Fonds propres</v>
      </c>
      <c r="G18" s="410">
        <f>'ADO-17'!$B$16</f>
        <v>2000</v>
      </c>
      <c r="H18" s="409" t="str">
        <f>'ADO-17'!$B$6</f>
        <v>Pas de subside</v>
      </c>
      <c r="I18" s="410">
        <f>'ADO-17'!$B$17</f>
        <v>0</v>
      </c>
      <c r="J18" s="410">
        <f>'ADO-17'!$B$20</f>
        <v>1</v>
      </c>
      <c r="K18" s="410">
        <f>'ADO-17'!$B$21</f>
        <v>0</v>
      </c>
      <c r="L18" s="419">
        <f>'ADO-17'!$B$23</f>
        <v>2000</v>
      </c>
      <c r="M18" s="420">
        <f>'ADO-17'!$B$24</f>
        <v>23.4</v>
      </c>
      <c r="N18" s="413"/>
      <c r="O18" s="414" t="str">
        <f>'ADO-17'!$E$5</f>
        <v>A faire</v>
      </c>
      <c r="P18" s="421">
        <f>'ADO-17'!$B$15</f>
        <v>2020</v>
      </c>
      <c r="Q18" s="247">
        <f t="shared" si="48"/>
        <v>0</v>
      </c>
      <c r="R18" s="416">
        <f t="shared" si="49"/>
        <v>0</v>
      </c>
      <c r="S18" s="416">
        <f t="shared" si="50"/>
        <v>0</v>
      </c>
      <c r="T18" s="416">
        <f t="shared" si="51"/>
        <v>0</v>
      </c>
      <c r="U18" s="416">
        <f t="shared" si="52"/>
        <v>0</v>
      </c>
      <c r="V18" s="416">
        <f t="shared" si="53"/>
        <v>0</v>
      </c>
      <c r="W18" s="416">
        <f t="shared" si="54"/>
        <v>0</v>
      </c>
      <c r="X18" s="416">
        <f t="shared" si="55"/>
        <v>0</v>
      </c>
      <c r="Z18" s="416">
        <f t="shared" si="56"/>
        <v>0</v>
      </c>
      <c r="AA18" s="416">
        <f t="shared" si="57"/>
        <v>0</v>
      </c>
      <c r="AB18" s="416">
        <f t="shared" si="58"/>
        <v>0</v>
      </c>
      <c r="AC18" s="416">
        <f t="shared" si="59"/>
        <v>0</v>
      </c>
      <c r="AD18" s="416">
        <f t="shared" si="60"/>
        <v>2000</v>
      </c>
      <c r="AE18" s="416">
        <f t="shared" si="61"/>
        <v>0</v>
      </c>
      <c r="AG18" s="416">
        <f t="shared" si="62"/>
        <v>0</v>
      </c>
      <c r="AH18" s="416">
        <f t="shared" si="63"/>
        <v>0</v>
      </c>
      <c r="AI18" s="416">
        <f t="shared" si="64"/>
        <v>0</v>
      </c>
      <c r="AJ18" s="416">
        <f t="shared" si="65"/>
        <v>0</v>
      </c>
      <c r="AK18" s="416">
        <f t="shared" si="66"/>
        <v>0</v>
      </c>
      <c r="AL18" s="416">
        <f t="shared" si="67"/>
        <v>0</v>
      </c>
      <c r="AM18" s="244"/>
      <c r="AN18" s="416">
        <f t="shared" si="68"/>
        <v>2000</v>
      </c>
      <c r="AO18" s="416">
        <f t="shared" si="69"/>
        <v>0</v>
      </c>
      <c r="AP18" s="416">
        <f t="shared" si="70"/>
        <v>0</v>
      </c>
      <c r="AQ18" s="416">
        <f t="shared" si="71"/>
        <v>0</v>
      </c>
      <c r="AR18" s="416">
        <f t="shared" si="72"/>
        <v>0</v>
      </c>
      <c r="AS18" s="416">
        <f t="shared" si="73"/>
        <v>0</v>
      </c>
      <c r="AT18" s="416">
        <f t="shared" si="74"/>
        <v>0</v>
      </c>
      <c r="AV18" s="416">
        <f t="shared" si="75"/>
        <v>0</v>
      </c>
      <c r="AW18" s="416">
        <f t="shared" si="76"/>
        <v>0</v>
      </c>
      <c r="AX18" s="416">
        <f t="shared" si="77"/>
        <v>0</v>
      </c>
      <c r="AY18" s="416">
        <f t="shared" si="78"/>
        <v>0</v>
      </c>
      <c r="AZ18" s="416">
        <f t="shared" si="79"/>
        <v>0</v>
      </c>
      <c r="BA18" s="416">
        <f t="shared" si="80"/>
        <v>0</v>
      </c>
      <c r="BB18" s="416">
        <f t="shared" si="81"/>
        <v>0</v>
      </c>
      <c r="BC18" s="244"/>
      <c r="BD18" s="416">
        <f t="shared" si="82"/>
        <v>1</v>
      </c>
      <c r="BE18" s="416">
        <f t="shared" si="83"/>
        <v>0</v>
      </c>
      <c r="BF18" s="416">
        <f t="shared" si="84"/>
        <v>0</v>
      </c>
      <c r="BG18" s="416">
        <f t="shared" si="85"/>
        <v>0</v>
      </c>
      <c r="BH18" s="416">
        <f t="shared" si="86"/>
        <v>0</v>
      </c>
      <c r="BI18" s="416">
        <f t="shared" si="87"/>
        <v>0</v>
      </c>
      <c r="BJ18" s="416">
        <f t="shared" si="88"/>
        <v>0</v>
      </c>
      <c r="BL18" s="416">
        <f t="shared" si="89"/>
        <v>0</v>
      </c>
      <c r="BM18" s="416">
        <f t="shared" si="90"/>
        <v>0</v>
      </c>
      <c r="BN18" s="416">
        <f t="shared" si="91"/>
        <v>0</v>
      </c>
      <c r="BO18" s="416">
        <f t="shared" si="92"/>
        <v>0</v>
      </c>
      <c r="BP18" s="416">
        <f t="shared" si="93"/>
        <v>0</v>
      </c>
      <c r="BQ18" s="416">
        <f t="shared" si="94"/>
        <v>0</v>
      </c>
      <c r="BR18" s="416">
        <f t="shared" si="95"/>
        <v>0</v>
      </c>
    </row>
    <row r="19" spans="1:70" s="477" customFormat="1" x14ac:dyDescent="0.25">
      <c r="A19" s="769" t="s">
        <v>90</v>
      </c>
      <c r="B19" s="468" t="str">
        <f>'ADU-1'!$B$7</f>
        <v>Solaire thermique</v>
      </c>
      <c r="C19" s="468" t="str">
        <f>'ADU-1'!$B$8</f>
        <v>Installation solaires thermiques existantes</v>
      </c>
      <c r="D19" s="468" t="str">
        <f>'ADU-1'!$C$4</f>
        <v>Logement</v>
      </c>
      <c r="E19" s="468" t="str">
        <f>'ADU-1'!$B$11</f>
        <v>Citoyen</v>
      </c>
      <c r="F19" s="468" t="str">
        <f>'ADU-1'!$B$5</f>
        <v>Prêt bancaire</v>
      </c>
      <c r="G19" s="469">
        <f>'ADU-1'!$B$16</f>
        <v>49500</v>
      </c>
      <c r="H19" s="468" t="str">
        <f>'ADU-1'!$B$6</f>
        <v>Prime RW</v>
      </c>
      <c r="I19" s="469">
        <f>'ADU-1'!$B$17</f>
        <v>11000</v>
      </c>
      <c r="J19" s="469">
        <f>'ADU-1'!$B$20</f>
        <v>2480.4119999999998</v>
      </c>
      <c r="K19" s="469">
        <f>'ADU-1'!$B$21</f>
        <v>0</v>
      </c>
      <c r="L19" s="470">
        <f>'ADU-1'!$B$23</f>
        <v>15.521614957515125</v>
      </c>
      <c r="M19" s="479">
        <f>'ADU-1'!$B$18/1000</f>
        <v>28.841999999999999</v>
      </c>
      <c r="N19" s="472"/>
      <c r="O19" s="473" t="str">
        <f>'ADU-1'!$E$5</f>
        <v>Terminé</v>
      </c>
      <c r="P19" s="474">
        <f>'ADU-1'!$B$15</f>
        <v>2014</v>
      </c>
      <c r="Q19" s="475">
        <f t="shared" si="0"/>
        <v>28.841999999999999</v>
      </c>
      <c r="R19" s="475">
        <f t="shared" si="41"/>
        <v>28.841999999999999</v>
      </c>
      <c r="S19" s="475">
        <f t="shared" si="42"/>
        <v>0</v>
      </c>
      <c r="T19" s="475">
        <f t="shared" si="43"/>
        <v>0</v>
      </c>
      <c r="U19" s="475">
        <f t="shared" si="44"/>
        <v>28.841999999999999</v>
      </c>
      <c r="V19" s="475">
        <f t="shared" si="45"/>
        <v>0</v>
      </c>
      <c r="W19" s="475">
        <f t="shared" si="46"/>
        <v>0</v>
      </c>
      <c r="X19" s="475">
        <f t="shared" si="47"/>
        <v>0</v>
      </c>
      <c r="Z19" s="416">
        <f t="shared" si="1"/>
        <v>0</v>
      </c>
      <c r="AA19" s="416">
        <f t="shared" si="2"/>
        <v>0</v>
      </c>
      <c r="AB19" s="416">
        <f t="shared" si="3"/>
        <v>0</v>
      </c>
      <c r="AC19" s="416">
        <f t="shared" si="4"/>
        <v>0</v>
      </c>
      <c r="AD19" s="416">
        <f t="shared" si="5"/>
        <v>0</v>
      </c>
      <c r="AE19" s="416">
        <f t="shared" si="6"/>
        <v>0</v>
      </c>
      <c r="AF19" s="417"/>
      <c r="AG19" s="416">
        <f t="shared" si="7"/>
        <v>0</v>
      </c>
      <c r="AH19" s="416">
        <f t="shared" si="8"/>
        <v>0</v>
      </c>
      <c r="AI19" s="416">
        <f t="shared" si="9"/>
        <v>0</v>
      </c>
      <c r="AJ19" s="416">
        <f t="shared" si="10"/>
        <v>0</v>
      </c>
      <c r="AK19" s="416">
        <f t="shared" si="11"/>
        <v>0</v>
      </c>
      <c r="AL19" s="416">
        <f t="shared" si="12"/>
        <v>0</v>
      </c>
      <c r="AM19" s="244"/>
      <c r="AN19" s="416">
        <f t="shared" si="13"/>
        <v>0</v>
      </c>
      <c r="AO19" s="416">
        <f t="shared" si="14"/>
        <v>0</v>
      </c>
      <c r="AP19" s="416">
        <f t="shared" si="15"/>
        <v>0</v>
      </c>
      <c r="AQ19" s="416">
        <f t="shared" si="16"/>
        <v>0</v>
      </c>
      <c r="AR19" s="416">
        <f t="shared" si="17"/>
        <v>0</v>
      </c>
      <c r="AS19" s="416">
        <f t="shared" si="18"/>
        <v>0</v>
      </c>
      <c r="AT19" s="416">
        <f t="shared" si="19"/>
        <v>0</v>
      </c>
      <c r="AU19" s="417"/>
      <c r="AV19" s="416">
        <f t="shared" si="20"/>
        <v>0</v>
      </c>
      <c r="AW19" s="416">
        <f t="shared" si="21"/>
        <v>0</v>
      </c>
      <c r="AX19" s="416">
        <f t="shared" si="22"/>
        <v>0</v>
      </c>
      <c r="AY19" s="416">
        <f t="shared" si="23"/>
        <v>0</v>
      </c>
      <c r="AZ19" s="416">
        <f t="shared" si="24"/>
        <v>0</v>
      </c>
      <c r="BA19" s="416">
        <f t="shared" si="25"/>
        <v>0</v>
      </c>
      <c r="BB19" s="416">
        <f t="shared" si="26"/>
        <v>0</v>
      </c>
      <c r="BC19" s="244"/>
      <c r="BD19" s="416">
        <f t="shared" si="27"/>
        <v>0</v>
      </c>
      <c r="BE19" s="416">
        <f t="shared" si="28"/>
        <v>0</v>
      </c>
      <c r="BF19" s="416">
        <f t="shared" si="29"/>
        <v>0</v>
      </c>
      <c r="BG19" s="416">
        <f t="shared" si="30"/>
        <v>0</v>
      </c>
      <c r="BH19" s="416">
        <f t="shared" si="31"/>
        <v>0</v>
      </c>
      <c r="BI19" s="416">
        <f t="shared" si="32"/>
        <v>0</v>
      </c>
      <c r="BJ19" s="416">
        <f t="shared" si="33"/>
        <v>0</v>
      </c>
      <c r="BK19" s="417"/>
      <c r="BL19" s="416">
        <f t="shared" si="34"/>
        <v>0</v>
      </c>
      <c r="BM19" s="416">
        <f t="shared" si="35"/>
        <v>0</v>
      </c>
      <c r="BN19" s="416">
        <f t="shared" si="36"/>
        <v>0</v>
      </c>
      <c r="BO19" s="416">
        <f t="shared" si="37"/>
        <v>0</v>
      </c>
      <c r="BP19" s="416">
        <f t="shared" si="38"/>
        <v>0</v>
      </c>
      <c r="BQ19" s="416">
        <f t="shared" si="39"/>
        <v>0</v>
      </c>
      <c r="BR19" s="416">
        <f t="shared" si="40"/>
        <v>0</v>
      </c>
    </row>
    <row r="20" spans="1:70" s="503" customFormat="1" x14ac:dyDescent="0.25">
      <c r="A20" s="770" t="s">
        <v>92</v>
      </c>
      <c r="B20" s="494" t="str">
        <f>'ADU-2'!$B$7</f>
        <v xml:space="preserve">Installations photovoltaïques </v>
      </c>
      <c r="C20" s="494" t="str">
        <f>'ADU-2'!$B$8</f>
        <v>Installations photovoltaïques pour habitations privées</v>
      </c>
      <c r="D20" s="494" t="str">
        <f>'ADU-2'!$C$4</f>
        <v>Logement</v>
      </c>
      <c r="E20" s="494" t="str">
        <f>'ADU-2'!$B$11</f>
        <v>Citoyen</v>
      </c>
      <c r="F20" s="494" t="str">
        <f>'ADU-2'!$B$5</f>
        <v>Prêt bancaire</v>
      </c>
      <c r="G20" s="495">
        <f>'ADU-2'!$B$16</f>
        <v>6314000.0000000009</v>
      </c>
      <c r="H20" s="494" t="str">
        <f>'ADU-2'!$B$6</f>
        <v>CV</v>
      </c>
      <c r="I20" s="495">
        <f>'ADU-2'!$B$17</f>
        <v>0</v>
      </c>
      <c r="J20" s="495">
        <f>'ADU-2'!$B$20</f>
        <v>585480</v>
      </c>
      <c r="K20" s="495">
        <f>'ADU-2'!$B$21</f>
        <v>634270</v>
      </c>
      <c r="L20" s="496">
        <f>'ADU-2'!$B$23</f>
        <v>5.1764705882352953</v>
      </c>
      <c r="M20" s="505">
        <f>'ADU-2'!$B$18/1000</f>
        <v>0</v>
      </c>
      <c r="N20" s="498"/>
      <c r="O20" s="499" t="str">
        <f>'ADU-2'!$E$5</f>
        <v>Terminé</v>
      </c>
      <c r="P20" s="500">
        <f>'ADU-2'!$B$15</f>
        <v>2014</v>
      </c>
      <c r="Q20" s="501">
        <f t="shared" si="0"/>
        <v>0</v>
      </c>
      <c r="R20" s="501">
        <f t="shared" si="41"/>
        <v>0</v>
      </c>
      <c r="S20" s="501">
        <f t="shared" si="42"/>
        <v>0</v>
      </c>
      <c r="T20" s="501">
        <f t="shared" si="43"/>
        <v>0</v>
      </c>
      <c r="U20" s="501">
        <f t="shared" si="44"/>
        <v>0</v>
      </c>
      <c r="V20" s="501">
        <f t="shared" si="45"/>
        <v>0</v>
      </c>
      <c r="W20" s="501">
        <f t="shared" si="46"/>
        <v>0</v>
      </c>
      <c r="X20" s="501">
        <f t="shared" si="47"/>
        <v>0</v>
      </c>
      <c r="Z20" s="416">
        <f t="shared" si="1"/>
        <v>0</v>
      </c>
      <c r="AA20" s="416">
        <f t="shared" si="2"/>
        <v>0</v>
      </c>
      <c r="AB20" s="416">
        <f t="shared" si="3"/>
        <v>0</v>
      </c>
      <c r="AC20" s="416">
        <f t="shared" si="4"/>
        <v>0</v>
      </c>
      <c r="AD20" s="416">
        <f t="shared" si="5"/>
        <v>0</v>
      </c>
      <c r="AE20" s="416">
        <f t="shared" si="6"/>
        <v>0</v>
      </c>
      <c r="AF20" s="417"/>
      <c r="AG20" s="416">
        <f t="shared" si="7"/>
        <v>0</v>
      </c>
      <c r="AH20" s="416">
        <f t="shared" si="8"/>
        <v>0</v>
      </c>
      <c r="AI20" s="416">
        <f t="shared" si="9"/>
        <v>0</v>
      </c>
      <c r="AJ20" s="416">
        <f t="shared" si="10"/>
        <v>0</v>
      </c>
      <c r="AK20" s="416">
        <f t="shared" si="11"/>
        <v>0</v>
      </c>
      <c r="AL20" s="416">
        <f t="shared" si="12"/>
        <v>0</v>
      </c>
      <c r="AM20" s="244"/>
      <c r="AN20" s="416">
        <f t="shared" si="13"/>
        <v>0</v>
      </c>
      <c r="AO20" s="416">
        <f t="shared" si="14"/>
        <v>0</v>
      </c>
      <c r="AP20" s="416">
        <f t="shared" si="15"/>
        <v>0</v>
      </c>
      <c r="AQ20" s="416">
        <f t="shared" si="16"/>
        <v>0</v>
      </c>
      <c r="AR20" s="416">
        <f t="shared" si="17"/>
        <v>0</v>
      </c>
      <c r="AS20" s="416">
        <f t="shared" si="18"/>
        <v>0</v>
      </c>
      <c r="AT20" s="416">
        <f t="shared" si="19"/>
        <v>0</v>
      </c>
      <c r="AU20" s="417"/>
      <c r="AV20" s="416">
        <f t="shared" si="20"/>
        <v>0</v>
      </c>
      <c r="AW20" s="416">
        <f t="shared" si="21"/>
        <v>0</v>
      </c>
      <c r="AX20" s="416">
        <f t="shared" si="22"/>
        <v>0</v>
      </c>
      <c r="AY20" s="416">
        <f t="shared" si="23"/>
        <v>0</v>
      </c>
      <c r="AZ20" s="416">
        <f t="shared" si="24"/>
        <v>0</v>
      </c>
      <c r="BA20" s="416">
        <f t="shared" si="25"/>
        <v>0</v>
      </c>
      <c r="BB20" s="416">
        <f t="shared" si="26"/>
        <v>0</v>
      </c>
      <c r="BC20" s="244"/>
      <c r="BD20" s="416">
        <f t="shared" si="27"/>
        <v>0</v>
      </c>
      <c r="BE20" s="416">
        <f t="shared" si="28"/>
        <v>0</v>
      </c>
      <c r="BF20" s="416">
        <f t="shared" si="29"/>
        <v>0</v>
      </c>
      <c r="BG20" s="416">
        <f t="shared" si="30"/>
        <v>0</v>
      </c>
      <c r="BH20" s="416">
        <f t="shared" si="31"/>
        <v>0</v>
      </c>
      <c r="BI20" s="416">
        <f t="shared" si="32"/>
        <v>0</v>
      </c>
      <c r="BJ20" s="416">
        <f t="shared" si="33"/>
        <v>0</v>
      </c>
      <c r="BK20" s="417"/>
      <c r="BL20" s="416">
        <f t="shared" si="34"/>
        <v>0</v>
      </c>
      <c r="BM20" s="416">
        <f t="shared" si="35"/>
        <v>0</v>
      </c>
      <c r="BN20" s="416">
        <f t="shared" si="36"/>
        <v>0</v>
      </c>
      <c r="BO20" s="416">
        <f t="shared" si="37"/>
        <v>0</v>
      </c>
      <c r="BP20" s="416">
        <f t="shared" si="38"/>
        <v>0</v>
      </c>
      <c r="BQ20" s="416">
        <f t="shared" si="39"/>
        <v>0</v>
      </c>
      <c r="BR20" s="416">
        <f t="shared" si="40"/>
        <v>0</v>
      </c>
    </row>
    <row r="21" spans="1:70" s="503" customFormat="1" x14ac:dyDescent="0.25">
      <c r="A21" s="771" t="s">
        <v>693</v>
      </c>
      <c r="B21" s="494" t="str">
        <f>'ADU-221'!$B$7</f>
        <v>Installation photovoltaïque</v>
      </c>
      <c r="C21" s="494" t="str">
        <f>'ADU-221'!$B$8</f>
        <v>Installation PhV 65 kWc</v>
      </c>
      <c r="D21" s="494" t="str">
        <f>'ADU-221'!$C$4</f>
        <v>Tertiaire</v>
      </c>
      <c r="E21" s="494" t="str">
        <f>'ADU-221'!$B$11</f>
        <v>Tertiaire</v>
      </c>
      <c r="F21" s="494" t="str">
        <f>'ADU-221'!$B$5</f>
        <v>Fonds propres</v>
      </c>
      <c r="G21" s="495">
        <f>'ADU-221'!$B$16</f>
        <v>143000</v>
      </c>
      <c r="H21" s="494" t="str">
        <f>'ADU-221'!$B$6</f>
        <v>CV</v>
      </c>
      <c r="I21" s="495">
        <f>'ADU-221'!$B$17</f>
        <v>0</v>
      </c>
      <c r="J21" s="495">
        <f>'ADU-221'!$B$20</f>
        <v>13260</v>
      </c>
      <c r="K21" s="495">
        <f>'ADU-221'!$B$21</f>
        <v>3591.25</v>
      </c>
      <c r="L21" s="496">
        <f>'ADU-221'!$B$23</f>
        <v>8.486017357762778</v>
      </c>
      <c r="M21" s="505">
        <f>'ADU-221'!$B$18/1000</f>
        <v>0</v>
      </c>
      <c r="N21" s="498"/>
      <c r="O21" s="499" t="str">
        <f>'ADU-221'!$E$5</f>
        <v>Terminé</v>
      </c>
      <c r="P21" s="500">
        <f>'ADU-221'!$B$15</f>
        <v>2014</v>
      </c>
      <c r="Q21" s="501">
        <f t="shared" si="0"/>
        <v>0</v>
      </c>
      <c r="R21" s="501">
        <f>IF(O21="Terminé",M21,0)</f>
        <v>0</v>
      </c>
      <c r="S21" s="501">
        <f>IF(D21="Agriculture",R21,0)</f>
        <v>0</v>
      </c>
      <c r="T21" s="501">
        <f>IF(D21="Industrie", R21,0)</f>
        <v>0</v>
      </c>
      <c r="U21" s="501">
        <f>IF(D21="Logement", R21,0)</f>
        <v>0</v>
      </c>
      <c r="V21" s="501">
        <f>IF(D21="Tertiaire",R21,0)</f>
        <v>0</v>
      </c>
      <c r="W21" s="501">
        <f>IF(D21="Transport",R21,0)</f>
        <v>0</v>
      </c>
      <c r="X21" s="501">
        <f>IF(D21="Communal",R21,0)</f>
        <v>0</v>
      </c>
      <c r="Z21" s="416">
        <f t="shared" si="1"/>
        <v>0</v>
      </c>
      <c r="AA21" s="416">
        <f t="shared" si="2"/>
        <v>0</v>
      </c>
      <c r="AB21" s="416">
        <f t="shared" si="3"/>
        <v>0</v>
      </c>
      <c r="AC21" s="416">
        <f t="shared" si="4"/>
        <v>0</v>
      </c>
      <c r="AD21" s="416">
        <f t="shared" si="5"/>
        <v>0</v>
      </c>
      <c r="AE21" s="416">
        <f t="shared" si="6"/>
        <v>0</v>
      </c>
      <c r="AF21" s="417"/>
      <c r="AG21" s="416">
        <f t="shared" si="7"/>
        <v>0</v>
      </c>
      <c r="AH21" s="416">
        <f t="shared" si="8"/>
        <v>0</v>
      </c>
      <c r="AI21" s="416">
        <f t="shared" si="9"/>
        <v>0</v>
      </c>
      <c r="AJ21" s="416">
        <f t="shared" si="10"/>
        <v>0</v>
      </c>
      <c r="AK21" s="416">
        <f t="shared" si="11"/>
        <v>0</v>
      </c>
      <c r="AL21" s="416">
        <f t="shared" si="12"/>
        <v>0</v>
      </c>
      <c r="AM21" s="244"/>
      <c r="AN21" s="416">
        <f t="shared" si="13"/>
        <v>0</v>
      </c>
      <c r="AO21" s="416">
        <f t="shared" si="14"/>
        <v>0</v>
      </c>
      <c r="AP21" s="416">
        <f t="shared" si="15"/>
        <v>0</v>
      </c>
      <c r="AQ21" s="416">
        <f t="shared" si="16"/>
        <v>0</v>
      </c>
      <c r="AR21" s="416">
        <f t="shared" si="17"/>
        <v>0</v>
      </c>
      <c r="AS21" s="416">
        <f t="shared" si="18"/>
        <v>0</v>
      </c>
      <c r="AT21" s="416">
        <f t="shared" si="19"/>
        <v>0</v>
      </c>
      <c r="AU21" s="417"/>
      <c r="AV21" s="416">
        <f t="shared" si="20"/>
        <v>0</v>
      </c>
      <c r="AW21" s="416">
        <f t="shared" si="21"/>
        <v>0</v>
      </c>
      <c r="AX21" s="416">
        <f t="shared" si="22"/>
        <v>0</v>
      </c>
      <c r="AY21" s="416">
        <f t="shared" si="23"/>
        <v>0</v>
      </c>
      <c r="AZ21" s="416">
        <f t="shared" si="24"/>
        <v>0</v>
      </c>
      <c r="BA21" s="416">
        <f t="shared" si="25"/>
        <v>0</v>
      </c>
      <c r="BB21" s="416">
        <f t="shared" si="26"/>
        <v>0</v>
      </c>
      <c r="BC21" s="244"/>
      <c r="BD21" s="416">
        <f t="shared" si="27"/>
        <v>0</v>
      </c>
      <c r="BE21" s="416">
        <f t="shared" si="28"/>
        <v>0</v>
      </c>
      <c r="BF21" s="416">
        <f t="shared" si="29"/>
        <v>0</v>
      </c>
      <c r="BG21" s="416">
        <f t="shared" si="30"/>
        <v>0</v>
      </c>
      <c r="BH21" s="416">
        <f t="shared" si="31"/>
        <v>0</v>
      </c>
      <c r="BI21" s="416">
        <f t="shared" si="32"/>
        <v>0</v>
      </c>
      <c r="BJ21" s="416">
        <f t="shared" si="33"/>
        <v>0</v>
      </c>
      <c r="BK21" s="417"/>
      <c r="BL21" s="416">
        <f t="shared" si="34"/>
        <v>0</v>
      </c>
      <c r="BM21" s="416">
        <f t="shared" si="35"/>
        <v>0</v>
      </c>
      <c r="BN21" s="416">
        <f t="shared" si="36"/>
        <v>0</v>
      </c>
      <c r="BO21" s="416">
        <f t="shared" si="37"/>
        <v>0</v>
      </c>
      <c r="BP21" s="416">
        <f t="shared" si="38"/>
        <v>0</v>
      </c>
      <c r="BQ21" s="416">
        <f t="shared" si="39"/>
        <v>0</v>
      </c>
      <c r="BR21" s="416">
        <f t="shared" si="40"/>
        <v>0</v>
      </c>
    </row>
    <row r="22" spans="1:70" s="503" customFormat="1" x14ac:dyDescent="0.25">
      <c r="A22" s="771" t="s">
        <v>692</v>
      </c>
      <c r="B22" s="494" t="str">
        <f>'ADU-222'!$B$7</f>
        <v>Installation photovoltaïque</v>
      </c>
      <c r="C22" s="494" t="str">
        <f>'ADU-222'!$B$8</f>
        <v>Installation PhV 46 kWc</v>
      </c>
      <c r="D22" s="494" t="str">
        <f>'ADU-222'!$C$4</f>
        <v>Tertiaire</v>
      </c>
      <c r="E22" s="494" t="str">
        <f>'ADU-222'!$B$11</f>
        <v>Tertiaire</v>
      </c>
      <c r="F22" s="494" t="str">
        <f>'ADU-222'!$B$5</f>
        <v>Fonds propres</v>
      </c>
      <c r="G22" s="495">
        <f>'ADU-222'!$B$16</f>
        <v>101200.00000000001</v>
      </c>
      <c r="H22" s="494" t="str">
        <f>'ADU-222'!$B$6</f>
        <v>CV</v>
      </c>
      <c r="I22" s="495">
        <f>'ADU-222'!$B$17</f>
        <v>0</v>
      </c>
      <c r="J22" s="495">
        <f>'ADU-222'!$B$20</f>
        <v>9384</v>
      </c>
      <c r="K22" s="495">
        <f>'ADU-222'!$B$21</f>
        <v>2541.5</v>
      </c>
      <c r="L22" s="496">
        <f>'ADU-222'!$B$23</f>
        <v>8.486017357762778</v>
      </c>
      <c r="M22" s="505">
        <f>'ADU-222'!$B$18/1000</f>
        <v>0</v>
      </c>
      <c r="N22" s="498"/>
      <c r="O22" s="499" t="str">
        <f>'ADU-222'!$E$5</f>
        <v>Terminé</v>
      </c>
      <c r="P22" s="500">
        <f>'ADU-222'!$B$15</f>
        <v>2014</v>
      </c>
      <c r="Q22" s="501">
        <f t="shared" si="0"/>
        <v>0</v>
      </c>
      <c r="R22" s="501">
        <f>IF(O22="Terminé",M22,0)</f>
        <v>0</v>
      </c>
      <c r="S22" s="501">
        <f>IF(D22="Agriculture",R22,0)</f>
        <v>0</v>
      </c>
      <c r="T22" s="501">
        <f>IF(D22="Industrie", R22,0)</f>
        <v>0</v>
      </c>
      <c r="U22" s="501">
        <f>IF(D22="Logement", R22,0)</f>
        <v>0</v>
      </c>
      <c r="V22" s="501">
        <f>IF(D22="Tertiaire",R22,0)</f>
        <v>0</v>
      </c>
      <c r="W22" s="501">
        <f>IF(D22="Transport",R22,0)</f>
        <v>0</v>
      </c>
      <c r="X22" s="501">
        <f>IF(D22="Communal",R22,0)</f>
        <v>0</v>
      </c>
      <c r="Z22" s="416">
        <f t="shared" si="1"/>
        <v>0</v>
      </c>
      <c r="AA22" s="416">
        <f t="shared" si="2"/>
        <v>0</v>
      </c>
      <c r="AB22" s="416">
        <f t="shared" si="3"/>
        <v>0</v>
      </c>
      <c r="AC22" s="416">
        <f t="shared" si="4"/>
        <v>0</v>
      </c>
      <c r="AD22" s="416">
        <f t="shared" si="5"/>
        <v>0</v>
      </c>
      <c r="AE22" s="416">
        <f t="shared" si="6"/>
        <v>0</v>
      </c>
      <c r="AF22" s="417"/>
      <c r="AG22" s="416">
        <f t="shared" si="7"/>
        <v>0</v>
      </c>
      <c r="AH22" s="416">
        <f t="shared" si="8"/>
        <v>0</v>
      </c>
      <c r="AI22" s="416">
        <f t="shared" si="9"/>
        <v>0</v>
      </c>
      <c r="AJ22" s="416">
        <f t="shared" si="10"/>
        <v>0</v>
      </c>
      <c r="AK22" s="416">
        <f t="shared" si="11"/>
        <v>0</v>
      </c>
      <c r="AL22" s="416">
        <f t="shared" si="12"/>
        <v>0</v>
      </c>
      <c r="AM22" s="244"/>
      <c r="AN22" s="416">
        <f t="shared" si="13"/>
        <v>0</v>
      </c>
      <c r="AO22" s="416">
        <f t="shared" si="14"/>
        <v>0</v>
      </c>
      <c r="AP22" s="416">
        <f t="shared" si="15"/>
        <v>0</v>
      </c>
      <c r="AQ22" s="416">
        <f t="shared" si="16"/>
        <v>0</v>
      </c>
      <c r="AR22" s="416">
        <f t="shared" si="17"/>
        <v>0</v>
      </c>
      <c r="AS22" s="416">
        <f t="shared" si="18"/>
        <v>0</v>
      </c>
      <c r="AT22" s="416">
        <f t="shared" si="19"/>
        <v>0</v>
      </c>
      <c r="AU22" s="417"/>
      <c r="AV22" s="416">
        <f t="shared" si="20"/>
        <v>0</v>
      </c>
      <c r="AW22" s="416">
        <f t="shared" si="21"/>
        <v>0</v>
      </c>
      <c r="AX22" s="416">
        <f t="shared" si="22"/>
        <v>0</v>
      </c>
      <c r="AY22" s="416">
        <f t="shared" si="23"/>
        <v>0</v>
      </c>
      <c r="AZ22" s="416">
        <f t="shared" si="24"/>
        <v>0</v>
      </c>
      <c r="BA22" s="416">
        <f t="shared" si="25"/>
        <v>0</v>
      </c>
      <c r="BB22" s="416">
        <f t="shared" si="26"/>
        <v>0</v>
      </c>
      <c r="BC22" s="244"/>
      <c r="BD22" s="416">
        <f t="shared" si="27"/>
        <v>0</v>
      </c>
      <c r="BE22" s="416">
        <f t="shared" si="28"/>
        <v>0</v>
      </c>
      <c r="BF22" s="416">
        <f t="shared" si="29"/>
        <v>0</v>
      </c>
      <c r="BG22" s="416">
        <f t="shared" si="30"/>
        <v>0</v>
      </c>
      <c r="BH22" s="416">
        <f t="shared" si="31"/>
        <v>0</v>
      </c>
      <c r="BI22" s="416">
        <f t="shared" si="32"/>
        <v>0</v>
      </c>
      <c r="BJ22" s="416">
        <f t="shared" si="33"/>
        <v>0</v>
      </c>
      <c r="BK22" s="417"/>
      <c r="BL22" s="416">
        <f t="shared" si="34"/>
        <v>0</v>
      </c>
      <c r="BM22" s="416">
        <f t="shared" si="35"/>
        <v>0</v>
      </c>
      <c r="BN22" s="416">
        <f t="shared" si="36"/>
        <v>0</v>
      </c>
      <c r="BO22" s="416">
        <f t="shared" si="37"/>
        <v>0</v>
      </c>
      <c r="BP22" s="416">
        <f t="shared" si="38"/>
        <v>0</v>
      </c>
      <c r="BQ22" s="416">
        <f t="shared" si="39"/>
        <v>0</v>
      </c>
      <c r="BR22" s="416">
        <f t="shared" si="40"/>
        <v>0</v>
      </c>
    </row>
    <row r="23" spans="1:70" s="503" customFormat="1" x14ac:dyDescent="0.25">
      <c r="A23" s="771" t="s">
        <v>753</v>
      </c>
      <c r="B23" s="494" t="str">
        <f>'ADU-223'!$B$7</f>
        <v>Installation photovoltaïque</v>
      </c>
      <c r="C23" s="494" t="str">
        <f>'ADU-223'!$B$8</f>
        <v>Installation PhV 150 kWc</v>
      </c>
      <c r="D23" s="494" t="str">
        <f>'ADU-223'!$C$4</f>
        <v>Tertiaire</v>
      </c>
      <c r="E23" s="494" t="str">
        <f>'ADU-223'!$B$11</f>
        <v>Tertiaire</v>
      </c>
      <c r="F23" s="494" t="str">
        <f>'ADU-223'!$B$5</f>
        <v>Fonds propres</v>
      </c>
      <c r="G23" s="495">
        <f>'ADU-223'!$B$16</f>
        <v>330000</v>
      </c>
      <c r="H23" s="494" t="str">
        <f>'ADU-223'!$B$6</f>
        <v>CV</v>
      </c>
      <c r="I23" s="495">
        <f>'ADU-223'!$B$17</f>
        <v>0</v>
      </c>
      <c r="J23" s="495">
        <f>'ADU-223'!$B$20</f>
        <v>30600</v>
      </c>
      <c r="K23" s="495">
        <f>'ADU-223'!$B$21</f>
        <v>8287.5</v>
      </c>
      <c r="L23" s="496">
        <f>'ADU-223'!$B$23</f>
        <v>8.486017357762778</v>
      </c>
      <c r="M23" s="505">
        <f>'ADU-223'!$B$18/1000</f>
        <v>0</v>
      </c>
      <c r="N23" s="498"/>
      <c r="O23" s="499" t="str">
        <f>'ADU-223'!$E$5</f>
        <v>Terminé</v>
      </c>
      <c r="P23" s="500">
        <f>'ADU-223'!$B$15</f>
        <v>2015</v>
      </c>
      <c r="Q23" s="501">
        <f t="shared" si="0"/>
        <v>0</v>
      </c>
      <c r="R23" s="501">
        <f>IF(O23="Terminé",M23,0)</f>
        <v>0</v>
      </c>
      <c r="S23" s="501">
        <f>IF(D23="Agriculture",R23,0)</f>
        <v>0</v>
      </c>
      <c r="T23" s="501">
        <f>IF(D23="Industrie", R23,0)</f>
        <v>0</v>
      </c>
      <c r="U23" s="501">
        <f>IF(D23="Logement", R23,0)</f>
        <v>0</v>
      </c>
      <c r="V23" s="501">
        <f>IF(D23="Tertiaire",R23,0)</f>
        <v>0</v>
      </c>
      <c r="W23" s="501">
        <f>IF(D23="Transport",R23,0)</f>
        <v>0</v>
      </c>
      <c r="X23" s="501">
        <f>IF(D23="Communal",R23,0)</f>
        <v>0</v>
      </c>
      <c r="Z23" s="416">
        <f t="shared" si="1"/>
        <v>0</v>
      </c>
      <c r="AA23" s="416">
        <f t="shared" si="2"/>
        <v>0</v>
      </c>
      <c r="AB23" s="416">
        <f t="shared" si="3"/>
        <v>0</v>
      </c>
      <c r="AC23" s="416">
        <f t="shared" si="4"/>
        <v>0</v>
      </c>
      <c r="AD23" s="416">
        <f t="shared" si="5"/>
        <v>0</v>
      </c>
      <c r="AE23" s="416">
        <f t="shared" si="6"/>
        <v>0</v>
      </c>
      <c r="AF23" s="417"/>
      <c r="AG23" s="416">
        <f t="shared" si="7"/>
        <v>0</v>
      </c>
      <c r="AH23" s="416">
        <f t="shared" si="8"/>
        <v>0</v>
      </c>
      <c r="AI23" s="416">
        <f t="shared" si="9"/>
        <v>0</v>
      </c>
      <c r="AJ23" s="416">
        <f t="shared" si="10"/>
        <v>0</v>
      </c>
      <c r="AK23" s="416">
        <f t="shared" si="11"/>
        <v>0</v>
      </c>
      <c r="AL23" s="416">
        <f t="shared" si="12"/>
        <v>0</v>
      </c>
      <c r="AM23" s="244"/>
      <c r="AN23" s="416">
        <f t="shared" si="13"/>
        <v>0</v>
      </c>
      <c r="AO23" s="416">
        <f t="shared" si="14"/>
        <v>0</v>
      </c>
      <c r="AP23" s="416">
        <f t="shared" si="15"/>
        <v>0</v>
      </c>
      <c r="AQ23" s="416">
        <f t="shared" si="16"/>
        <v>0</v>
      </c>
      <c r="AR23" s="416">
        <f t="shared" si="17"/>
        <v>0</v>
      </c>
      <c r="AS23" s="416">
        <f t="shared" si="18"/>
        <v>0</v>
      </c>
      <c r="AT23" s="416">
        <f t="shared" si="19"/>
        <v>0</v>
      </c>
      <c r="AU23" s="417"/>
      <c r="AV23" s="416">
        <f t="shared" si="20"/>
        <v>0</v>
      </c>
      <c r="AW23" s="416">
        <f t="shared" si="21"/>
        <v>0</v>
      </c>
      <c r="AX23" s="416">
        <f t="shared" si="22"/>
        <v>0</v>
      </c>
      <c r="AY23" s="416">
        <f t="shared" si="23"/>
        <v>0</v>
      </c>
      <c r="AZ23" s="416">
        <f t="shared" si="24"/>
        <v>0</v>
      </c>
      <c r="BA23" s="416">
        <f t="shared" si="25"/>
        <v>0</v>
      </c>
      <c r="BB23" s="416">
        <f t="shared" si="26"/>
        <v>0</v>
      </c>
      <c r="BC23" s="244"/>
      <c r="BD23" s="416">
        <f t="shared" si="27"/>
        <v>0</v>
      </c>
      <c r="BE23" s="416">
        <f t="shared" si="28"/>
        <v>0</v>
      </c>
      <c r="BF23" s="416">
        <f t="shared" si="29"/>
        <v>0</v>
      </c>
      <c r="BG23" s="416">
        <f t="shared" si="30"/>
        <v>0</v>
      </c>
      <c r="BH23" s="416">
        <f t="shared" si="31"/>
        <v>0</v>
      </c>
      <c r="BI23" s="416">
        <f t="shared" si="32"/>
        <v>0</v>
      </c>
      <c r="BJ23" s="416">
        <f t="shared" si="33"/>
        <v>0</v>
      </c>
      <c r="BK23" s="417"/>
      <c r="BL23" s="416">
        <f t="shared" si="34"/>
        <v>0</v>
      </c>
      <c r="BM23" s="416">
        <f t="shared" si="35"/>
        <v>0</v>
      </c>
      <c r="BN23" s="416">
        <f t="shared" si="36"/>
        <v>0</v>
      </c>
      <c r="BO23" s="416">
        <f t="shared" si="37"/>
        <v>0</v>
      </c>
      <c r="BP23" s="416">
        <f t="shared" si="38"/>
        <v>0</v>
      </c>
      <c r="BQ23" s="416">
        <f t="shared" si="39"/>
        <v>0</v>
      </c>
      <c r="BR23" s="416">
        <f t="shared" si="40"/>
        <v>0</v>
      </c>
    </row>
    <row r="24" spans="1:70" s="516" customFormat="1" x14ac:dyDescent="0.25">
      <c r="A24" s="772" t="s">
        <v>91</v>
      </c>
      <c r="B24" s="508" t="str">
        <f>'ADU-3'!$B$7</f>
        <v xml:space="preserve">Valorisation des déchets </v>
      </c>
      <c r="C24" s="508" t="str">
        <f>'ADU-3'!$B$8</f>
        <v>Part communale des centrales biogaz IDELUX</v>
      </c>
      <c r="D24" s="508" t="str">
        <f>'ADU-3'!$C$4</f>
        <v>Territoire</v>
      </c>
      <c r="E24" s="508" t="str">
        <f>'ADU-3'!$B$11</f>
        <v>IDELUX</v>
      </c>
      <c r="F24" s="508" t="str">
        <f>'ADU-3'!$B$5</f>
        <v>Montage</v>
      </c>
      <c r="G24" s="551">
        <f>'ADU-3'!$B$16</f>
        <v>0</v>
      </c>
      <c r="H24" s="508" t="str">
        <f>'ADU-3'!$B$6</f>
        <v>Subs EU</v>
      </c>
      <c r="I24" s="551">
        <f>'ADU-3'!$B$17</f>
        <v>0</v>
      </c>
      <c r="J24" s="551">
        <f>'ADU-3'!$B$20</f>
        <v>68483.520000000004</v>
      </c>
      <c r="K24" s="551">
        <f>'ADU-3'!$B$21</f>
        <v>18547.620000000003</v>
      </c>
      <c r="L24" s="552">
        <f>'ADU-3'!$B$23</f>
        <v>0</v>
      </c>
      <c r="M24" s="558">
        <f>'ADU-3'!$B$18/1000</f>
        <v>0</v>
      </c>
      <c r="N24" s="554"/>
      <c r="O24" s="555" t="str">
        <f>'ADU-3'!$E$5</f>
        <v>Terminé</v>
      </c>
      <c r="P24" s="513">
        <f>'ADU-3'!$B$15</f>
        <v>2008</v>
      </c>
      <c r="Q24" s="514">
        <f t="shared" si="0"/>
        <v>0</v>
      </c>
      <c r="R24" s="514">
        <f>IF(O24="Terminé",M24,0)</f>
        <v>0</v>
      </c>
      <c r="S24" s="514">
        <f>IF(D24="Agriculture",R24,0)</f>
        <v>0</v>
      </c>
      <c r="T24" s="514">
        <f>IF(D24="Industrie", R24,0)</f>
        <v>0</v>
      </c>
      <c r="U24" s="514">
        <f>IF(D24="Logement", R24,0)</f>
        <v>0</v>
      </c>
      <c r="V24" s="514">
        <f>IF(D24="Tertiaire",R24,0)</f>
        <v>0</v>
      </c>
      <c r="W24" s="514">
        <f>IF(D24="Transport",R24,0)</f>
        <v>0</v>
      </c>
      <c r="X24" s="514">
        <f>IF(D24="Communal",R24,0)</f>
        <v>0</v>
      </c>
      <c r="Z24" s="416">
        <f t="shared" si="1"/>
        <v>0</v>
      </c>
      <c r="AA24" s="416">
        <f t="shared" si="2"/>
        <v>0</v>
      </c>
      <c r="AB24" s="416">
        <f t="shared" si="3"/>
        <v>0</v>
      </c>
      <c r="AC24" s="416">
        <f t="shared" si="4"/>
        <v>0</v>
      </c>
      <c r="AD24" s="416">
        <f t="shared" si="5"/>
        <v>0</v>
      </c>
      <c r="AE24" s="416">
        <f t="shared" si="6"/>
        <v>0</v>
      </c>
      <c r="AF24" s="417"/>
      <c r="AG24" s="416">
        <f t="shared" si="7"/>
        <v>0</v>
      </c>
      <c r="AH24" s="416">
        <f t="shared" si="8"/>
        <v>0</v>
      </c>
      <c r="AI24" s="416">
        <f t="shared" si="9"/>
        <v>0</v>
      </c>
      <c r="AJ24" s="416">
        <f t="shared" si="10"/>
        <v>0</v>
      </c>
      <c r="AK24" s="416">
        <f t="shared" si="11"/>
        <v>0</v>
      </c>
      <c r="AL24" s="416">
        <f t="shared" si="12"/>
        <v>0</v>
      </c>
      <c r="AM24" s="244"/>
      <c r="AN24" s="416">
        <f t="shared" si="13"/>
        <v>0</v>
      </c>
      <c r="AO24" s="416">
        <f t="shared" si="14"/>
        <v>0</v>
      </c>
      <c r="AP24" s="416">
        <f t="shared" si="15"/>
        <v>0</v>
      </c>
      <c r="AQ24" s="416">
        <f t="shared" si="16"/>
        <v>0</v>
      </c>
      <c r="AR24" s="416">
        <f t="shared" si="17"/>
        <v>0</v>
      </c>
      <c r="AS24" s="416">
        <f t="shared" si="18"/>
        <v>0</v>
      </c>
      <c r="AT24" s="416">
        <f t="shared" si="19"/>
        <v>0</v>
      </c>
      <c r="AU24" s="417"/>
      <c r="AV24" s="416">
        <f t="shared" si="20"/>
        <v>0</v>
      </c>
      <c r="AW24" s="416">
        <f t="shared" si="21"/>
        <v>0</v>
      </c>
      <c r="AX24" s="416">
        <f t="shared" si="22"/>
        <v>0</v>
      </c>
      <c r="AY24" s="416">
        <f t="shared" si="23"/>
        <v>0</v>
      </c>
      <c r="AZ24" s="416">
        <f t="shared" si="24"/>
        <v>0</v>
      </c>
      <c r="BA24" s="416">
        <f t="shared" si="25"/>
        <v>0</v>
      </c>
      <c r="BB24" s="416">
        <f t="shared" si="26"/>
        <v>0</v>
      </c>
      <c r="BC24" s="244"/>
      <c r="BD24" s="416">
        <f t="shared" si="27"/>
        <v>0</v>
      </c>
      <c r="BE24" s="416">
        <f t="shared" si="28"/>
        <v>0</v>
      </c>
      <c r="BF24" s="416">
        <f t="shared" si="29"/>
        <v>0</v>
      </c>
      <c r="BG24" s="416">
        <f t="shared" si="30"/>
        <v>0</v>
      </c>
      <c r="BH24" s="416">
        <f t="shared" si="31"/>
        <v>0</v>
      </c>
      <c r="BI24" s="416">
        <f t="shared" si="32"/>
        <v>0</v>
      </c>
      <c r="BJ24" s="416">
        <f t="shared" si="33"/>
        <v>0</v>
      </c>
      <c r="BK24" s="417"/>
      <c r="BL24" s="416">
        <f t="shared" si="34"/>
        <v>0</v>
      </c>
      <c r="BM24" s="416">
        <f t="shared" si="35"/>
        <v>0</v>
      </c>
      <c r="BN24" s="416">
        <f t="shared" si="36"/>
        <v>0</v>
      </c>
      <c r="BO24" s="416">
        <f t="shared" si="37"/>
        <v>0</v>
      </c>
      <c r="BP24" s="416">
        <f t="shared" si="38"/>
        <v>0</v>
      </c>
      <c r="BQ24" s="416">
        <f t="shared" si="39"/>
        <v>0</v>
      </c>
      <c r="BR24" s="416">
        <f t="shared" si="40"/>
        <v>0</v>
      </c>
    </row>
    <row r="25" spans="1:70" s="503" customFormat="1" x14ac:dyDescent="0.25">
      <c r="A25" s="771" t="s">
        <v>601</v>
      </c>
      <c r="B25" s="494" t="str">
        <f>'ADU-41'!$B$7</f>
        <v>Production d'hydro-électricité</v>
      </c>
      <c r="C25" s="494" t="str">
        <f>'ADU-41'!$B$8</f>
        <v>Centrale hydro-électrique de La Trapperie</v>
      </c>
      <c r="D25" s="494" t="str">
        <f>'ADU-41'!$C$4</f>
        <v>Logement</v>
      </c>
      <c r="E25" s="494" t="str">
        <f>'ADU-41'!$B$11</f>
        <v>Citoyen</v>
      </c>
      <c r="F25" s="494" t="str">
        <f>'ADU-41'!$B$5</f>
        <v>Prêt bancaire</v>
      </c>
      <c r="G25" s="495">
        <f>'ADU-41'!$B$16</f>
        <v>120000</v>
      </c>
      <c r="H25" s="494" t="str">
        <f>'ADU-41'!$B$6</f>
        <v>CV</v>
      </c>
      <c r="I25" s="495">
        <f>'ADU-41'!$B$17</f>
        <v>42000</v>
      </c>
      <c r="J25" s="495">
        <f>'ADU-41'!$B$20</f>
        <v>5800</v>
      </c>
      <c r="K25" s="495">
        <f>'ADU-41'!$B$21</f>
        <v>9425</v>
      </c>
      <c r="L25" s="496">
        <f>'ADU-41'!$B$23</f>
        <v>5.1231527093596059</v>
      </c>
      <c r="M25" s="505">
        <f>'ADU-41'!$B$18/1000</f>
        <v>0</v>
      </c>
      <c r="N25" s="498"/>
      <c r="O25" s="499" t="str">
        <f>'ADU-41'!$E$5</f>
        <v>Terminé</v>
      </c>
      <c r="P25" s="500">
        <f>'ADU-41'!$B$15</f>
        <v>2009</v>
      </c>
      <c r="Q25" s="247">
        <f t="shared" si="0"/>
        <v>0</v>
      </c>
      <c r="R25" s="501">
        <f t="shared" si="41"/>
        <v>0</v>
      </c>
      <c r="S25" s="501">
        <f t="shared" si="42"/>
        <v>0</v>
      </c>
      <c r="T25" s="501">
        <f t="shared" si="43"/>
        <v>0</v>
      </c>
      <c r="U25" s="501">
        <f t="shared" si="44"/>
        <v>0</v>
      </c>
      <c r="V25" s="501">
        <f t="shared" si="45"/>
        <v>0</v>
      </c>
      <c r="W25" s="501">
        <f t="shared" si="46"/>
        <v>0</v>
      </c>
      <c r="X25" s="501">
        <f t="shared" si="47"/>
        <v>0</v>
      </c>
      <c r="Z25" s="247">
        <f t="shared" si="1"/>
        <v>0</v>
      </c>
      <c r="AA25" s="247">
        <f t="shared" si="2"/>
        <v>0</v>
      </c>
      <c r="AB25" s="247">
        <f t="shared" si="3"/>
        <v>0</v>
      </c>
      <c r="AC25" s="247">
        <f t="shared" si="4"/>
        <v>0</v>
      </c>
      <c r="AD25" s="416">
        <f t="shared" si="5"/>
        <v>0</v>
      </c>
      <c r="AE25" s="247">
        <f t="shared" si="6"/>
        <v>0</v>
      </c>
      <c r="AF25" s="244"/>
      <c r="AG25" s="247">
        <f t="shared" si="7"/>
        <v>0</v>
      </c>
      <c r="AH25" s="247">
        <f t="shared" si="8"/>
        <v>0</v>
      </c>
      <c r="AI25" s="247">
        <f t="shared" si="9"/>
        <v>0</v>
      </c>
      <c r="AJ25" s="247">
        <f t="shared" si="10"/>
        <v>0</v>
      </c>
      <c r="AK25" s="416">
        <f t="shared" si="11"/>
        <v>0</v>
      </c>
      <c r="AL25" s="247">
        <f t="shared" si="12"/>
        <v>0</v>
      </c>
      <c r="AM25" s="244"/>
      <c r="AN25" s="247">
        <f t="shared" si="13"/>
        <v>0</v>
      </c>
      <c r="AO25" s="247">
        <f t="shared" si="14"/>
        <v>0</v>
      </c>
      <c r="AP25" s="247">
        <f t="shared" si="15"/>
        <v>0</v>
      </c>
      <c r="AQ25" s="247">
        <f t="shared" si="16"/>
        <v>0</v>
      </c>
      <c r="AR25" s="247">
        <f t="shared" si="17"/>
        <v>0</v>
      </c>
      <c r="AS25" s="247">
        <f t="shared" si="18"/>
        <v>0</v>
      </c>
      <c r="AT25" s="247">
        <f t="shared" si="19"/>
        <v>0</v>
      </c>
      <c r="AU25" s="244"/>
      <c r="AV25" s="247">
        <f t="shared" si="20"/>
        <v>0</v>
      </c>
      <c r="AW25" s="247">
        <f t="shared" si="21"/>
        <v>0</v>
      </c>
      <c r="AX25" s="247">
        <f t="shared" si="22"/>
        <v>0</v>
      </c>
      <c r="AY25" s="247">
        <f t="shared" si="23"/>
        <v>0</v>
      </c>
      <c r="AZ25" s="247">
        <f t="shared" si="24"/>
        <v>0</v>
      </c>
      <c r="BA25" s="247">
        <f t="shared" si="25"/>
        <v>0</v>
      </c>
      <c r="BB25" s="247">
        <f t="shared" si="26"/>
        <v>0</v>
      </c>
      <c r="BC25" s="244"/>
      <c r="BD25" s="247">
        <f t="shared" si="27"/>
        <v>0</v>
      </c>
      <c r="BE25" s="247">
        <f t="shared" si="28"/>
        <v>0</v>
      </c>
      <c r="BF25" s="247">
        <f t="shared" si="29"/>
        <v>0</v>
      </c>
      <c r="BG25" s="247">
        <f t="shared" si="30"/>
        <v>0</v>
      </c>
      <c r="BH25" s="247">
        <f t="shared" si="31"/>
        <v>0</v>
      </c>
      <c r="BI25" s="247">
        <f t="shared" si="32"/>
        <v>0</v>
      </c>
      <c r="BJ25" s="247">
        <f t="shared" si="33"/>
        <v>0</v>
      </c>
      <c r="BK25" s="244"/>
      <c r="BL25" s="247">
        <f t="shared" si="34"/>
        <v>0</v>
      </c>
      <c r="BM25" s="247">
        <f t="shared" si="35"/>
        <v>0</v>
      </c>
      <c r="BN25" s="247">
        <f t="shared" si="36"/>
        <v>0</v>
      </c>
      <c r="BO25" s="247">
        <f t="shared" si="37"/>
        <v>0</v>
      </c>
      <c r="BP25" s="247">
        <f t="shared" si="38"/>
        <v>0</v>
      </c>
      <c r="BQ25" s="247">
        <f t="shared" si="39"/>
        <v>0</v>
      </c>
      <c r="BR25" s="247">
        <f t="shared" si="40"/>
        <v>0</v>
      </c>
    </row>
    <row r="26" spans="1:70" s="503" customFormat="1" x14ac:dyDescent="0.25">
      <c r="A26" s="771" t="s">
        <v>694</v>
      </c>
      <c r="B26" s="494" t="str">
        <f>'ADU-42'!$B$7</f>
        <v>Production d'hydro-électricité</v>
      </c>
      <c r="C26" s="494" t="str">
        <f>'ADU-42'!$B$8</f>
        <v>Centrale hydro-électrique Anlier</v>
      </c>
      <c r="D26" s="494" t="str">
        <f>'ADU-42'!$C$4</f>
        <v>Logement</v>
      </c>
      <c r="E26" s="494" t="str">
        <f>'ADU-42'!$B$11</f>
        <v>Citoyen</v>
      </c>
      <c r="F26" s="494" t="str">
        <f>'ADU-42'!$B$5</f>
        <v>Prêt bancaire</v>
      </c>
      <c r="G26" s="495">
        <f>'ADU-42'!$B$16</f>
        <v>80000</v>
      </c>
      <c r="H26" s="494" t="str">
        <f>'ADU-42'!$B$6</f>
        <v>CV</v>
      </c>
      <c r="I26" s="495">
        <f>'ADU-42'!$B$17</f>
        <v>28000</v>
      </c>
      <c r="J26" s="495">
        <f>'ADU-42'!$B$20</f>
        <v>1839.6000000000001</v>
      </c>
      <c r="K26" s="495">
        <f>'ADU-42'!$B$21</f>
        <v>2989.35</v>
      </c>
      <c r="L26" s="496">
        <f>'ADU-42'!$B$23</f>
        <v>10.768386502241688</v>
      </c>
      <c r="M26" s="505">
        <f>'ADU-42'!$B$18/1000</f>
        <v>0</v>
      </c>
      <c r="N26" s="498"/>
      <c r="O26" s="499" t="str">
        <f>'ADU-42'!$E$5</f>
        <v>Terminé</v>
      </c>
      <c r="P26" s="500">
        <f>'ADU-42'!$B$15</f>
        <v>2009</v>
      </c>
      <c r="Q26" s="247">
        <f t="shared" si="0"/>
        <v>0</v>
      </c>
      <c r="R26" s="501">
        <f>IF(O26="Terminé",M26,0)</f>
        <v>0</v>
      </c>
      <c r="S26" s="501">
        <f>IF(D26="Agriculture",R26,0)</f>
        <v>0</v>
      </c>
      <c r="T26" s="501">
        <f>IF(D26="Industrie", R26,0)</f>
        <v>0</v>
      </c>
      <c r="U26" s="501">
        <f>IF(D26="Logement", R26,0)</f>
        <v>0</v>
      </c>
      <c r="V26" s="501">
        <f>IF(D26="Tertiaire",R26,0)</f>
        <v>0</v>
      </c>
      <c r="W26" s="501">
        <f>IF(D26="Transport",R26,0)</f>
        <v>0</v>
      </c>
      <c r="X26" s="501">
        <f>IF(D26="Communal",R26,0)</f>
        <v>0</v>
      </c>
      <c r="Z26" s="661">
        <f t="shared" si="1"/>
        <v>0</v>
      </c>
      <c r="AA26" s="661">
        <f t="shared" si="2"/>
        <v>0</v>
      </c>
      <c r="AB26" s="661">
        <f t="shared" si="3"/>
        <v>0</v>
      </c>
      <c r="AC26" s="661">
        <f t="shared" si="4"/>
        <v>0</v>
      </c>
      <c r="AD26" s="416">
        <f t="shared" si="5"/>
        <v>0</v>
      </c>
      <c r="AE26" s="661">
        <f t="shared" si="6"/>
        <v>0</v>
      </c>
      <c r="AF26" s="662"/>
      <c r="AG26" s="661">
        <f t="shared" si="7"/>
        <v>0</v>
      </c>
      <c r="AH26" s="661">
        <f t="shared" si="8"/>
        <v>0</v>
      </c>
      <c r="AI26" s="661">
        <f t="shared" si="9"/>
        <v>0</v>
      </c>
      <c r="AJ26" s="661">
        <f t="shared" si="10"/>
        <v>0</v>
      </c>
      <c r="AK26" s="416">
        <f t="shared" si="11"/>
        <v>0</v>
      </c>
      <c r="AL26" s="661">
        <f t="shared" si="12"/>
        <v>0</v>
      </c>
      <c r="AM26" s="244"/>
      <c r="AN26" s="661">
        <f t="shared" si="13"/>
        <v>0</v>
      </c>
      <c r="AO26" s="661">
        <f t="shared" si="14"/>
        <v>0</v>
      </c>
      <c r="AP26" s="661">
        <f t="shared" si="15"/>
        <v>0</v>
      </c>
      <c r="AQ26" s="661">
        <f t="shared" si="16"/>
        <v>0</v>
      </c>
      <c r="AR26" s="661">
        <f t="shared" si="17"/>
        <v>0</v>
      </c>
      <c r="AS26" s="661">
        <f t="shared" si="18"/>
        <v>0</v>
      </c>
      <c r="AT26" s="661">
        <f t="shared" si="19"/>
        <v>0</v>
      </c>
      <c r="AU26" s="662"/>
      <c r="AV26" s="661">
        <f t="shared" si="20"/>
        <v>0</v>
      </c>
      <c r="AW26" s="661">
        <f t="shared" si="21"/>
        <v>0</v>
      </c>
      <c r="AX26" s="661">
        <f t="shared" si="22"/>
        <v>0</v>
      </c>
      <c r="AY26" s="661">
        <f t="shared" si="23"/>
        <v>0</v>
      </c>
      <c r="AZ26" s="661">
        <f t="shared" si="24"/>
        <v>0</v>
      </c>
      <c r="BA26" s="661">
        <f t="shared" si="25"/>
        <v>0</v>
      </c>
      <c r="BB26" s="661">
        <f t="shared" si="26"/>
        <v>0</v>
      </c>
      <c r="BC26" s="244"/>
      <c r="BD26" s="661">
        <f t="shared" si="27"/>
        <v>0</v>
      </c>
      <c r="BE26" s="661">
        <f t="shared" si="28"/>
        <v>0</v>
      </c>
      <c r="BF26" s="661">
        <f t="shared" si="29"/>
        <v>0</v>
      </c>
      <c r="BG26" s="661">
        <f t="shared" si="30"/>
        <v>0</v>
      </c>
      <c r="BH26" s="661">
        <f t="shared" si="31"/>
        <v>0</v>
      </c>
      <c r="BI26" s="661">
        <f t="shared" si="32"/>
        <v>0</v>
      </c>
      <c r="BJ26" s="661">
        <f t="shared" si="33"/>
        <v>0</v>
      </c>
      <c r="BK26" s="662"/>
      <c r="BL26" s="661">
        <f t="shared" si="34"/>
        <v>0</v>
      </c>
      <c r="BM26" s="661">
        <f t="shared" si="35"/>
        <v>0</v>
      </c>
      <c r="BN26" s="661">
        <f t="shared" si="36"/>
        <v>0</v>
      </c>
      <c r="BO26" s="661">
        <f t="shared" si="37"/>
        <v>0</v>
      </c>
      <c r="BP26" s="661">
        <f t="shared" si="38"/>
        <v>0</v>
      </c>
      <c r="BQ26" s="661">
        <f t="shared" si="39"/>
        <v>0</v>
      </c>
      <c r="BR26" s="661">
        <f t="shared" si="40"/>
        <v>0</v>
      </c>
    </row>
    <row r="27" spans="1:70" s="503" customFormat="1" x14ac:dyDescent="0.25">
      <c r="A27" s="771" t="s">
        <v>695</v>
      </c>
      <c r="B27" s="494" t="str">
        <f>'ADU-43'!$B$7</f>
        <v>Production d'hydro-électricité</v>
      </c>
      <c r="C27" s="494" t="str">
        <f>'ADU-43'!$B$8</f>
        <v>Centrale hydro-électrique du Châtelet</v>
      </c>
      <c r="D27" s="494" t="str">
        <f>'ADU-43'!$C$4</f>
        <v>Communal</v>
      </c>
      <c r="E27" s="494" t="str">
        <f>'ADU-43'!$B$11</f>
        <v>AC HABAY</v>
      </c>
      <c r="F27" s="494" t="str">
        <f>'ADU-43'!$B$5</f>
        <v>Prêt bancaire</v>
      </c>
      <c r="G27" s="495">
        <f>'ADU-43'!$B$16</f>
        <v>451000</v>
      </c>
      <c r="H27" s="494" t="str">
        <f>'ADU-43'!$B$6</f>
        <v>CV</v>
      </c>
      <c r="I27" s="495">
        <f>'ADU-43'!$B$17</f>
        <v>0</v>
      </c>
      <c r="J27" s="495">
        <f>'ADU-43'!$B$20</f>
        <v>14729.939999999997</v>
      </c>
      <c r="K27" s="495">
        <f>'ADU-43'!$B$21</f>
        <v>9070.5419999999976</v>
      </c>
      <c r="L27" s="496">
        <f>'ADU-43'!$B$23</f>
        <v>18.949196070903106</v>
      </c>
      <c r="M27" s="505">
        <f>'ADU-43'!$B$18/1000</f>
        <v>0</v>
      </c>
      <c r="N27" s="498"/>
      <c r="O27" s="499" t="str">
        <f>'ADU-43'!$E$5</f>
        <v>Terminé</v>
      </c>
      <c r="P27" s="500">
        <f>'ADU-43'!$B$15</f>
        <v>2017</v>
      </c>
      <c r="Q27" s="247">
        <f t="shared" si="0"/>
        <v>0</v>
      </c>
      <c r="R27" s="501">
        <f>IF(O27="Terminé",M27,0)</f>
        <v>0</v>
      </c>
      <c r="S27" s="501">
        <f>IF(D27="Agriculture",R27,0)</f>
        <v>0</v>
      </c>
      <c r="T27" s="501">
        <f>IF(D27="Industrie", R27,0)</f>
        <v>0</v>
      </c>
      <c r="U27" s="501">
        <f>IF(D27="Logement", R27,0)</f>
        <v>0</v>
      </c>
      <c r="V27" s="501">
        <f>IF(D27="Tertiaire",R27,0)</f>
        <v>0</v>
      </c>
      <c r="W27" s="501">
        <f>IF(D27="Transport",R27,0)</f>
        <v>0</v>
      </c>
      <c r="X27" s="501">
        <f>IF(D27="Communal",R27,0)</f>
        <v>0</v>
      </c>
      <c r="Z27" s="501">
        <f t="shared" si="1"/>
        <v>0</v>
      </c>
      <c r="AA27" s="501">
        <f t="shared" si="2"/>
        <v>0</v>
      </c>
      <c r="AB27" s="501">
        <f t="shared" si="3"/>
        <v>0</v>
      </c>
      <c r="AC27" s="501">
        <f t="shared" si="4"/>
        <v>0</v>
      </c>
      <c r="AD27" s="416">
        <f t="shared" si="5"/>
        <v>0</v>
      </c>
      <c r="AE27" s="501">
        <f t="shared" si="6"/>
        <v>0</v>
      </c>
      <c r="AG27" s="501">
        <f t="shared" si="7"/>
        <v>0</v>
      </c>
      <c r="AH27" s="501">
        <f t="shared" si="8"/>
        <v>0</v>
      </c>
      <c r="AI27" s="501">
        <f t="shared" si="9"/>
        <v>0</v>
      </c>
      <c r="AJ27" s="501">
        <f t="shared" si="10"/>
        <v>0</v>
      </c>
      <c r="AK27" s="416">
        <f t="shared" si="11"/>
        <v>0</v>
      </c>
      <c r="AL27" s="501">
        <f t="shared" si="12"/>
        <v>0</v>
      </c>
      <c r="AM27" s="244"/>
      <c r="AN27" s="501">
        <f t="shared" si="13"/>
        <v>0</v>
      </c>
      <c r="AO27" s="501">
        <f t="shared" si="14"/>
        <v>0</v>
      </c>
      <c r="AP27" s="501">
        <f t="shared" si="15"/>
        <v>0</v>
      </c>
      <c r="AQ27" s="501">
        <f t="shared" si="16"/>
        <v>0</v>
      </c>
      <c r="AR27" s="501">
        <f t="shared" si="17"/>
        <v>0</v>
      </c>
      <c r="AS27" s="501">
        <f t="shared" si="18"/>
        <v>0</v>
      </c>
      <c r="AT27" s="501">
        <f t="shared" si="19"/>
        <v>0</v>
      </c>
      <c r="AV27" s="501">
        <f t="shared" si="20"/>
        <v>0</v>
      </c>
      <c r="AW27" s="501">
        <f t="shared" si="21"/>
        <v>0</v>
      </c>
      <c r="AX27" s="501">
        <f t="shared" si="22"/>
        <v>0</v>
      </c>
      <c r="AY27" s="501">
        <f t="shared" si="23"/>
        <v>0</v>
      </c>
      <c r="AZ27" s="501">
        <f t="shared" si="24"/>
        <v>0</v>
      </c>
      <c r="BA27" s="501">
        <f t="shared" si="25"/>
        <v>0</v>
      </c>
      <c r="BB27" s="501">
        <f t="shared" si="26"/>
        <v>0</v>
      </c>
      <c r="BC27" s="244"/>
      <c r="BD27" s="501">
        <f t="shared" si="27"/>
        <v>0</v>
      </c>
      <c r="BE27" s="501">
        <f t="shared" si="28"/>
        <v>0</v>
      </c>
      <c r="BF27" s="501">
        <f t="shared" si="29"/>
        <v>0</v>
      </c>
      <c r="BG27" s="501">
        <f t="shared" si="30"/>
        <v>0</v>
      </c>
      <c r="BH27" s="501">
        <f t="shared" si="31"/>
        <v>0</v>
      </c>
      <c r="BI27" s="501">
        <f t="shared" si="32"/>
        <v>0</v>
      </c>
      <c r="BJ27" s="501">
        <f t="shared" si="33"/>
        <v>0</v>
      </c>
      <c r="BL27" s="501">
        <f t="shared" si="34"/>
        <v>0</v>
      </c>
      <c r="BM27" s="501">
        <f t="shared" si="35"/>
        <v>0</v>
      </c>
      <c r="BN27" s="501">
        <f t="shared" si="36"/>
        <v>0</v>
      </c>
      <c r="BO27" s="501">
        <f t="shared" si="37"/>
        <v>0</v>
      </c>
      <c r="BP27" s="501">
        <f t="shared" si="38"/>
        <v>0</v>
      </c>
      <c r="BQ27" s="501">
        <f t="shared" si="39"/>
        <v>0</v>
      </c>
      <c r="BR27" s="501">
        <f t="shared" si="40"/>
        <v>0</v>
      </c>
    </row>
    <row r="28" spans="1:70" s="503" customFormat="1" x14ac:dyDescent="0.25">
      <c r="A28" s="771" t="s">
        <v>745</v>
      </c>
      <c r="B28" s="494" t="str">
        <f>'ADU-44'!$B$7</f>
        <v>Production d'hydro-électricité</v>
      </c>
      <c r="C28" s="494" t="str">
        <f>'ADU-44'!$B$8</f>
        <v>Centrale hydro-électrique étang de Bologne</v>
      </c>
      <c r="D28" s="494" t="str">
        <f>'ADU-44'!$C$4</f>
        <v>Communal</v>
      </c>
      <c r="E28" s="494" t="str">
        <f>'ADU-44'!$B$11</f>
        <v>AC HABAY</v>
      </c>
      <c r="F28" s="494" t="str">
        <f>'ADU-44'!$B$5</f>
        <v>Prêt bancaire</v>
      </c>
      <c r="G28" s="495">
        <f>'ADU-44'!$B$16</f>
        <v>220000</v>
      </c>
      <c r="H28" s="494" t="str">
        <f>'ADU-44'!$B$6</f>
        <v>CV</v>
      </c>
      <c r="I28" s="495">
        <f>'ADU-44'!$B$17</f>
        <v>77000</v>
      </c>
      <c r="J28" s="495">
        <f>'ADU-44'!$B$20</f>
        <v>5518.8</v>
      </c>
      <c r="K28" s="495">
        <f>'ADU-44'!$B$21</f>
        <v>8968.0499999999993</v>
      </c>
      <c r="L28" s="496">
        <f>'ADU-44'!$B$23</f>
        <v>9.8710209603882149</v>
      </c>
      <c r="M28" s="505">
        <f>'ADU-44'!$B$18/1000</f>
        <v>0</v>
      </c>
      <c r="N28" s="498"/>
      <c r="O28" s="499" t="str">
        <f>'ADU-44'!$E$5</f>
        <v>A faire</v>
      </c>
      <c r="P28" s="500">
        <f>'ADU-44'!$B$15</f>
        <v>2018</v>
      </c>
      <c r="Q28" s="247">
        <f t="shared" si="0"/>
        <v>0</v>
      </c>
      <c r="R28" s="501">
        <f>IF(O28="Terminé",M28,0)</f>
        <v>0</v>
      </c>
      <c r="S28" s="501">
        <f>IF(D28="Agriculture",R28,0)</f>
        <v>0</v>
      </c>
      <c r="T28" s="501">
        <f>IF(D28="Industrie", R28,0)</f>
        <v>0</v>
      </c>
      <c r="U28" s="501">
        <f>IF(D28="Logement", R28,0)</f>
        <v>0</v>
      </c>
      <c r="V28" s="501">
        <f>IF(D28="Tertiaire",R28,0)</f>
        <v>0</v>
      </c>
      <c r="W28" s="501">
        <f>IF(D28="Transport",R28,0)</f>
        <v>0</v>
      </c>
      <c r="X28" s="501">
        <f>IF(D28="Communal",R28,0)</f>
        <v>0</v>
      </c>
      <c r="Z28" s="501">
        <f t="shared" si="1"/>
        <v>0</v>
      </c>
      <c r="AA28" s="501">
        <f t="shared" si="2"/>
        <v>0</v>
      </c>
      <c r="AB28" s="501">
        <f t="shared" si="3"/>
        <v>0</v>
      </c>
      <c r="AC28" s="501">
        <f t="shared" si="4"/>
        <v>0</v>
      </c>
      <c r="AD28" s="416">
        <f t="shared" si="5"/>
        <v>220000</v>
      </c>
      <c r="AE28" s="501">
        <f t="shared" si="6"/>
        <v>0</v>
      </c>
      <c r="AG28" s="501">
        <f t="shared" si="7"/>
        <v>0</v>
      </c>
      <c r="AH28" s="501">
        <f t="shared" si="8"/>
        <v>0</v>
      </c>
      <c r="AI28" s="501">
        <f t="shared" si="9"/>
        <v>0</v>
      </c>
      <c r="AJ28" s="501">
        <f t="shared" si="10"/>
        <v>0</v>
      </c>
      <c r="AK28" s="416">
        <f t="shared" si="11"/>
        <v>77000</v>
      </c>
      <c r="AL28" s="501">
        <f t="shared" si="12"/>
        <v>0</v>
      </c>
      <c r="AM28" s="244"/>
      <c r="AN28" s="501">
        <f t="shared" si="13"/>
        <v>0</v>
      </c>
      <c r="AO28" s="501">
        <f t="shared" si="14"/>
        <v>0</v>
      </c>
      <c r="AP28" s="501">
        <f t="shared" si="15"/>
        <v>0</v>
      </c>
      <c r="AQ28" s="501">
        <f t="shared" si="16"/>
        <v>0</v>
      </c>
      <c r="AR28" s="501">
        <f t="shared" si="17"/>
        <v>0</v>
      </c>
      <c r="AS28" s="501">
        <f t="shared" si="18"/>
        <v>0</v>
      </c>
      <c r="AT28" s="501">
        <f t="shared" si="19"/>
        <v>220000</v>
      </c>
      <c r="AV28" s="501">
        <f t="shared" si="20"/>
        <v>0</v>
      </c>
      <c r="AW28" s="501">
        <f t="shared" si="21"/>
        <v>0</v>
      </c>
      <c r="AX28" s="501">
        <f t="shared" si="22"/>
        <v>0</v>
      </c>
      <c r="AY28" s="501">
        <f t="shared" si="23"/>
        <v>0</v>
      </c>
      <c r="AZ28" s="501">
        <f t="shared" si="24"/>
        <v>0</v>
      </c>
      <c r="BA28" s="501">
        <f t="shared" si="25"/>
        <v>0</v>
      </c>
      <c r="BB28" s="501">
        <f t="shared" si="26"/>
        <v>77000</v>
      </c>
      <c r="BC28" s="244"/>
      <c r="BD28" s="501">
        <f t="shared" si="27"/>
        <v>0</v>
      </c>
      <c r="BE28" s="501">
        <f t="shared" si="28"/>
        <v>0</v>
      </c>
      <c r="BF28" s="501">
        <f t="shared" si="29"/>
        <v>0</v>
      </c>
      <c r="BG28" s="501">
        <f t="shared" si="30"/>
        <v>0</v>
      </c>
      <c r="BH28" s="501">
        <f t="shared" si="31"/>
        <v>0</v>
      </c>
      <c r="BI28" s="501">
        <f t="shared" si="32"/>
        <v>0</v>
      </c>
      <c r="BJ28" s="501">
        <f t="shared" si="33"/>
        <v>5518.8</v>
      </c>
      <c r="BL28" s="501">
        <f t="shared" si="34"/>
        <v>0</v>
      </c>
      <c r="BM28" s="501">
        <f t="shared" si="35"/>
        <v>0</v>
      </c>
      <c r="BN28" s="501">
        <f t="shared" si="36"/>
        <v>0</v>
      </c>
      <c r="BO28" s="501">
        <f t="shared" si="37"/>
        <v>0</v>
      </c>
      <c r="BP28" s="501">
        <f t="shared" si="38"/>
        <v>0</v>
      </c>
      <c r="BQ28" s="501">
        <f t="shared" si="39"/>
        <v>0</v>
      </c>
      <c r="BR28" s="501">
        <f t="shared" si="40"/>
        <v>8968.0499999999993</v>
      </c>
    </row>
    <row r="29" spans="1:70" s="417" customFormat="1" x14ac:dyDescent="0.25">
      <c r="A29" s="768" t="s">
        <v>156</v>
      </c>
      <c r="B29" s="409" t="str">
        <f>'ADU-5'!$B$7</f>
        <v>Projets d'isolation</v>
      </c>
      <c r="C29" s="409" t="str">
        <f>'ADU-5'!$B$8</f>
        <v>Ensemble des projets d'isolation de bâtiments communaux</v>
      </c>
      <c r="D29" s="409" t="str">
        <f>'ADU-5'!$C$4</f>
        <v>Communal</v>
      </c>
      <c r="E29" s="409" t="str">
        <f>'ADU-5'!$B$11</f>
        <v>AC HABAY</v>
      </c>
      <c r="F29" s="409" t="str">
        <f>'ADU-5'!$B$5</f>
        <v>Prêt bancaire</v>
      </c>
      <c r="G29" s="410">
        <f>'ADU-5'!$B$16</f>
        <v>319035</v>
      </c>
      <c r="H29" s="409" t="str">
        <f>'ADU-5'!$B$6</f>
        <v>Subs RW</v>
      </c>
      <c r="I29" s="410">
        <f>'ADU-5'!$B$17</f>
        <v>259056</v>
      </c>
      <c r="J29" s="410">
        <f>'ADU-5'!$B$20</f>
        <v>11782</v>
      </c>
      <c r="K29" s="410">
        <f>'ADU-5'!$B$21</f>
        <v>0</v>
      </c>
      <c r="L29" s="419">
        <f>'ADU-5'!$B$23</f>
        <v>5.0907316245119674</v>
      </c>
      <c r="M29" s="420">
        <f>'ADU-5'!$B$18/1000</f>
        <v>137</v>
      </c>
      <c r="N29" s="413"/>
      <c r="O29" s="414" t="str">
        <f>'ADU-5'!$E$5</f>
        <v>Terminé</v>
      </c>
      <c r="P29" s="421">
        <f>'ADU-5'!$B$15</f>
        <v>2015</v>
      </c>
      <c r="Q29" s="416">
        <f t="shared" si="0"/>
        <v>137</v>
      </c>
      <c r="R29" s="416">
        <f t="shared" si="41"/>
        <v>137</v>
      </c>
      <c r="S29" s="416">
        <f t="shared" si="42"/>
        <v>0</v>
      </c>
      <c r="T29" s="416">
        <f t="shared" si="43"/>
        <v>0</v>
      </c>
      <c r="U29" s="416">
        <f t="shared" si="44"/>
        <v>0</v>
      </c>
      <c r="V29" s="416">
        <f t="shared" si="45"/>
        <v>0</v>
      </c>
      <c r="W29" s="416">
        <f t="shared" si="46"/>
        <v>0</v>
      </c>
      <c r="X29" s="416">
        <f t="shared" si="47"/>
        <v>137</v>
      </c>
      <c r="Z29" s="501">
        <f t="shared" si="1"/>
        <v>0</v>
      </c>
      <c r="AA29" s="501">
        <f t="shared" si="2"/>
        <v>0</v>
      </c>
      <c r="AB29" s="501">
        <f t="shared" si="3"/>
        <v>0</v>
      </c>
      <c r="AC29" s="501">
        <f t="shared" si="4"/>
        <v>0</v>
      </c>
      <c r="AD29" s="416">
        <f t="shared" si="5"/>
        <v>0</v>
      </c>
      <c r="AE29" s="501">
        <f t="shared" si="6"/>
        <v>0</v>
      </c>
      <c r="AF29" s="503"/>
      <c r="AG29" s="501">
        <f t="shared" si="7"/>
        <v>0</v>
      </c>
      <c r="AH29" s="501">
        <f t="shared" si="8"/>
        <v>0</v>
      </c>
      <c r="AI29" s="501">
        <f t="shared" si="9"/>
        <v>0</v>
      </c>
      <c r="AJ29" s="501">
        <f t="shared" si="10"/>
        <v>0</v>
      </c>
      <c r="AK29" s="416">
        <f t="shared" si="11"/>
        <v>0</v>
      </c>
      <c r="AL29" s="501">
        <f t="shared" si="12"/>
        <v>0</v>
      </c>
      <c r="AM29" s="244"/>
      <c r="AN29" s="501">
        <f t="shared" si="13"/>
        <v>0</v>
      </c>
      <c r="AO29" s="501">
        <f t="shared" si="14"/>
        <v>0</v>
      </c>
      <c r="AP29" s="501">
        <f t="shared" si="15"/>
        <v>0</v>
      </c>
      <c r="AQ29" s="501">
        <f t="shared" si="16"/>
        <v>0</v>
      </c>
      <c r="AR29" s="501">
        <f t="shared" si="17"/>
        <v>0</v>
      </c>
      <c r="AS29" s="501">
        <f t="shared" si="18"/>
        <v>0</v>
      </c>
      <c r="AT29" s="501">
        <f t="shared" si="19"/>
        <v>0</v>
      </c>
      <c r="AU29" s="503"/>
      <c r="AV29" s="501">
        <f t="shared" si="20"/>
        <v>0</v>
      </c>
      <c r="AW29" s="501">
        <f t="shared" si="21"/>
        <v>0</v>
      </c>
      <c r="AX29" s="501">
        <f t="shared" si="22"/>
        <v>0</v>
      </c>
      <c r="AY29" s="501">
        <f t="shared" si="23"/>
        <v>0</v>
      </c>
      <c r="AZ29" s="501">
        <f t="shared" si="24"/>
        <v>0</v>
      </c>
      <c r="BA29" s="501">
        <f t="shared" si="25"/>
        <v>0</v>
      </c>
      <c r="BB29" s="501">
        <f t="shared" si="26"/>
        <v>0</v>
      </c>
      <c r="BC29" s="244"/>
      <c r="BD29" s="501">
        <f t="shared" si="27"/>
        <v>0</v>
      </c>
      <c r="BE29" s="501">
        <f t="shared" si="28"/>
        <v>0</v>
      </c>
      <c r="BF29" s="501">
        <f t="shared" si="29"/>
        <v>0</v>
      </c>
      <c r="BG29" s="501">
        <f t="shared" si="30"/>
        <v>0</v>
      </c>
      <c r="BH29" s="501">
        <f t="shared" si="31"/>
        <v>0</v>
      </c>
      <c r="BI29" s="501">
        <f t="shared" si="32"/>
        <v>0</v>
      </c>
      <c r="BJ29" s="501">
        <f t="shared" si="33"/>
        <v>0</v>
      </c>
      <c r="BK29" s="503"/>
      <c r="BL29" s="501">
        <f t="shared" si="34"/>
        <v>0</v>
      </c>
      <c r="BM29" s="501">
        <f t="shared" si="35"/>
        <v>0</v>
      </c>
      <c r="BN29" s="501">
        <f t="shared" si="36"/>
        <v>0</v>
      </c>
      <c r="BO29" s="501">
        <f t="shared" si="37"/>
        <v>0</v>
      </c>
      <c r="BP29" s="501">
        <f t="shared" si="38"/>
        <v>0</v>
      </c>
      <c r="BQ29" s="501">
        <f t="shared" si="39"/>
        <v>0</v>
      </c>
      <c r="BR29" s="501">
        <f t="shared" si="40"/>
        <v>0</v>
      </c>
    </row>
    <row r="30" spans="1:70" s="417" customFormat="1" x14ac:dyDescent="0.25">
      <c r="A30" s="756" t="s">
        <v>939</v>
      </c>
      <c r="B30" s="521" t="str">
        <f>'ADU-51'!$B$7</f>
        <v>Commerces</v>
      </c>
      <c r="C30" s="521" t="str">
        <f>'ADU-51'!$B$8</f>
        <v>Récupération d'énergie</v>
      </c>
      <c r="D30" s="521" t="str">
        <f>'ADU-51'!$C$4</f>
        <v>Tertiaire</v>
      </c>
      <c r="E30" s="521" t="str">
        <f>'ADU-51'!$B$11</f>
        <v>Tertiaire</v>
      </c>
      <c r="F30" s="521" t="str">
        <f>'ADU-51'!$B$5</f>
        <v>Prêt bancaire</v>
      </c>
      <c r="G30" s="563">
        <f>'ADU-51'!$B$16</f>
        <v>50000</v>
      </c>
      <c r="H30" s="521" t="str">
        <f>'ADU-51'!$B$6</f>
        <v>Subs RW</v>
      </c>
      <c r="I30" s="563">
        <f>'ADU-51'!$B$17</f>
        <v>0</v>
      </c>
      <c r="J30" s="563">
        <f>'ADU-51'!$B$20</f>
        <v>3288</v>
      </c>
      <c r="K30" s="563">
        <f>'ADU-51'!$B$21</f>
        <v>0</v>
      </c>
      <c r="L30" s="564">
        <f>'ADU-51'!$B$23</f>
        <v>15.206812652068127</v>
      </c>
      <c r="M30" s="588">
        <f>'ADU-51'!$B$24</f>
        <v>0</v>
      </c>
      <c r="N30" s="566"/>
      <c r="O30" s="414" t="str">
        <f>'ADU-51'!$E$5</f>
        <v>Terminé</v>
      </c>
      <c r="P30" s="522">
        <f>'ADU-51'!$B$15</f>
        <v>2017</v>
      </c>
      <c r="Q30" s="523">
        <f t="shared" ref="Q30:Q32" si="96">IF(O30="Terminé",M30,0)</f>
        <v>0</v>
      </c>
      <c r="R30" s="523">
        <f t="shared" ref="R30:R32" si="97">IF(O30="Terminé",M30,0)</f>
        <v>0</v>
      </c>
      <c r="S30" s="523">
        <f t="shared" ref="S30:S32" si="98">IF(D30="Agriculture",R30,0)</f>
        <v>0</v>
      </c>
      <c r="T30" s="523">
        <f t="shared" ref="T30:T32" si="99">IF(D30="Industrie", R30,0)</f>
        <v>0</v>
      </c>
      <c r="U30" s="523">
        <f t="shared" ref="U30:U32" si="100">IF(D30="Logement", R30,0)</f>
        <v>0</v>
      </c>
      <c r="V30" s="416">
        <f t="shared" ref="V30:V32" si="101">IF(D30="Tertiaire",R30,0)</f>
        <v>0</v>
      </c>
      <c r="W30" s="416">
        <f t="shared" ref="W30:W32" si="102">IF(D30="Transport",R30,0)</f>
        <v>0</v>
      </c>
      <c r="X30" s="416">
        <f t="shared" ref="X30:X32" si="103">IF(D30="Communal",R30,0)</f>
        <v>0</v>
      </c>
      <c r="Z30" s="501">
        <f t="shared" ref="Z30:Z32" si="104">IF((O30="A faire")*AND(E30="Agriculture"),G30,0)</f>
        <v>0</v>
      </c>
      <c r="AA30" s="501">
        <f t="shared" ref="AA30:AA32" si="105">IF((O30="A faire")*AND(E30="Industrie"),G30,0)</f>
        <v>0</v>
      </c>
      <c r="AB30" s="501">
        <f t="shared" ref="AB30:AB32" si="106">IF((O30="A faire")*AND(E30="Citoyen"),G30,0)</f>
        <v>0</v>
      </c>
      <c r="AC30" s="501">
        <f t="shared" ref="AC30:AC32" si="107">IF((O30="A faire")*AND(E30="IDELUX"),G30,0)</f>
        <v>0</v>
      </c>
      <c r="AD30" s="416">
        <f t="shared" ref="AD30:AD32" si="108">IF((O30="A faire")*AND(E30="AC HABAY"),G30,0)</f>
        <v>0</v>
      </c>
      <c r="AE30" s="501">
        <f t="shared" ref="AE30:AE32" si="109">IF((O30="A faire")*AND(E30="Tertiaire"),G30,0)</f>
        <v>0</v>
      </c>
      <c r="AF30" s="503"/>
      <c r="AG30" s="501">
        <f t="shared" ref="AG30:AG32" si="110">IF((O30="A faire")*AND(E30="Agriculture"),I30,0)</f>
        <v>0</v>
      </c>
      <c r="AH30" s="501">
        <f t="shared" ref="AH30:AH32" si="111">IF((O30="A faire")*AND(E30="Industrie"),I30,0)</f>
        <v>0</v>
      </c>
      <c r="AI30" s="501">
        <f t="shared" ref="AI30:AI32" si="112">IF((O30="A faire")*AND(E30="Citoyen"),I30,0)</f>
        <v>0</v>
      </c>
      <c r="AJ30" s="501">
        <f t="shared" ref="AJ30:AJ32" si="113">IF((O30="A faire")*AND(E30="IDELUX"),I30,0)</f>
        <v>0</v>
      </c>
      <c r="AK30" s="416">
        <f t="shared" ref="AK30:AK32" si="114">IF((O30="A faire")*AND(E30="AC HABAY"),I30,0)</f>
        <v>0</v>
      </c>
      <c r="AL30" s="501">
        <f t="shared" ref="AL30:AL32" si="115">IF((O30="A faire")*AND(E30="Tertiaire"),I30,0)</f>
        <v>0</v>
      </c>
      <c r="AM30" s="244"/>
      <c r="AN30" s="501">
        <f t="shared" ref="AN30:AN32" si="116">IF((O30="A faire")*AND(D30="Territoire"),G30,0)</f>
        <v>0</v>
      </c>
      <c r="AO30" s="501">
        <f t="shared" ref="AO30:AO32" si="117">IF((O30="A faire")*AND(D30="Agriculture"),G30,0)</f>
        <v>0</v>
      </c>
      <c r="AP30" s="501">
        <f t="shared" ref="AP30:AP32" si="118">IF((O30="A faire")*AND(D30="Industrie"),G30,0)</f>
        <v>0</v>
      </c>
      <c r="AQ30" s="501">
        <f t="shared" ref="AQ30:AQ32" si="119">IF((O30="A faire")*AND(D30="Logement"),G30,0)</f>
        <v>0</v>
      </c>
      <c r="AR30" s="501">
        <f t="shared" ref="AR30:AR32" si="120">IF((O30="A faire")*AND(D30="Tertiaire"),G30,0)</f>
        <v>0</v>
      </c>
      <c r="AS30" s="501">
        <f t="shared" ref="AS30:AS32" si="121">IF((O30="A faire")*AND(D30="Transport"),G30,0)</f>
        <v>0</v>
      </c>
      <c r="AT30" s="501">
        <f t="shared" ref="AT30:AT32" si="122">IF((O30="A faire")*AND(D30="Communal"),G30,0)</f>
        <v>0</v>
      </c>
      <c r="AU30" s="503"/>
      <c r="AV30" s="501">
        <f t="shared" ref="AV30:AV32" si="123">IF((O30="A faire")*AND(D30="Territoire"),I30,0)</f>
        <v>0</v>
      </c>
      <c r="AW30" s="501">
        <f t="shared" ref="AW30:AW32" si="124">IF((O30="A faire")*AND(D30="Agriculture"),I30,0)</f>
        <v>0</v>
      </c>
      <c r="AX30" s="501">
        <f t="shared" ref="AX30:AX32" si="125">IF((O30="A faire")*AND(D30="Industrie"),I30,0)</f>
        <v>0</v>
      </c>
      <c r="AY30" s="501">
        <f t="shared" ref="AY30:AY32" si="126">IF((O30="A faire")*AND(D30="Logement"),I30,0)</f>
        <v>0</v>
      </c>
      <c r="AZ30" s="501">
        <f t="shared" ref="AZ30:AZ32" si="127">IF((O30="A faire")*AND(D30="Tertiaire"),I30,0)</f>
        <v>0</v>
      </c>
      <c r="BA30" s="501">
        <f t="shared" ref="BA30:BA32" si="128">IF((O30="A faire")*AND(D30="Transport"),I30,0)</f>
        <v>0</v>
      </c>
      <c r="BB30" s="501">
        <f t="shared" ref="BB30:BB32" si="129">IF((O30="A faire")*AND(D30="Communal"),I30,0)</f>
        <v>0</v>
      </c>
      <c r="BC30" s="244"/>
      <c r="BD30" s="501">
        <f t="shared" ref="BD30:BD32" si="130">IF((O30="A faire")*AND(D30="Territoire"),J30,0)</f>
        <v>0</v>
      </c>
      <c r="BE30" s="501">
        <f t="shared" ref="BE30:BE32" si="131">IF((O30="A faire")*AND(D30="Agriculture"),J30,0)</f>
        <v>0</v>
      </c>
      <c r="BF30" s="501">
        <f t="shared" ref="BF30:BF32" si="132">IF((O30="A faire")*AND(D30="Industrie"),J30,0)</f>
        <v>0</v>
      </c>
      <c r="BG30" s="501">
        <f t="shared" ref="BG30:BG32" si="133">IF((O30="A faire")*AND(D30="Logement"),J30,0)</f>
        <v>0</v>
      </c>
      <c r="BH30" s="501">
        <f t="shared" ref="BH30:BH32" si="134">IF((O30="A faire")*AND(D30="Tertiaire"),2,0)</f>
        <v>0</v>
      </c>
      <c r="BI30" s="501">
        <f t="shared" ref="BI30:BI32" si="135">IF((O30="A faire")*AND(D30="Transport"),J30,0)</f>
        <v>0</v>
      </c>
      <c r="BJ30" s="501">
        <f t="shared" ref="BJ30:BJ32" si="136">IF((O30="A faire")*AND(D30="Communal"),J30,0)</f>
        <v>0</v>
      </c>
      <c r="BK30" s="503"/>
      <c r="BL30" s="501">
        <f t="shared" ref="BL30:BL32" si="137">IF((O30="A faire")*AND(D30="Territoire"),K30,0)</f>
        <v>0</v>
      </c>
      <c r="BM30" s="501">
        <f t="shared" ref="BM30:BM32" si="138">IF((O30="A faire")*AND(D30="Agriculture"),K30,0)</f>
        <v>0</v>
      </c>
      <c r="BN30" s="501">
        <f t="shared" ref="BN30:BN32" si="139">IF((O30="A faire")*AND(D30="Industrie"),K30,0)</f>
        <v>0</v>
      </c>
      <c r="BO30" s="501">
        <f t="shared" ref="BO30:BO32" si="140">IF((O30="A faire")*AND(D30="Logement"),K30,0)</f>
        <v>0</v>
      </c>
      <c r="BP30" s="501">
        <f t="shared" ref="BP30:BP32" si="141">IF((O30="A faire")*AND(D30="Tertiaire"),K30,0)</f>
        <v>0</v>
      </c>
      <c r="BQ30" s="501">
        <f t="shared" ref="BQ30:BQ32" si="142">IF((O30="A faire")*AND(D30="Transport"),K30,0)</f>
        <v>0</v>
      </c>
      <c r="BR30" s="501">
        <f t="shared" ref="BR30:BR32" si="143">IF((O30="A faire")*AND(D30="Communal"),K30,0)</f>
        <v>0</v>
      </c>
    </row>
    <row r="31" spans="1:70" s="417" customFormat="1" x14ac:dyDescent="0.25">
      <c r="A31" s="786" t="s">
        <v>947</v>
      </c>
      <c r="B31" s="409" t="str">
        <f>'ADU-52'!$B$7</f>
        <v>Piscine</v>
      </c>
      <c r="C31" s="409" t="str">
        <f>'ADU-52'!$B$8</f>
        <v>Récupération et économie d'énergie</v>
      </c>
      <c r="D31" s="409" t="str">
        <f>'ADU-52'!$C$4</f>
        <v>Communal</v>
      </c>
      <c r="E31" s="409" t="str">
        <f>'ADU-52'!$B$11</f>
        <v>AC HABAY</v>
      </c>
      <c r="F31" s="409" t="str">
        <f>'ADU-52'!$B$5</f>
        <v>Prêt bancaire</v>
      </c>
      <c r="G31" s="410">
        <f>'ADU-52'!$B$16</f>
        <v>100000</v>
      </c>
      <c r="H31" s="409" t="str">
        <f>'ADU-52'!$B$6</f>
        <v>Subs RW</v>
      </c>
      <c r="I31" s="410">
        <f>'ADU-52'!$B$17</f>
        <v>0</v>
      </c>
      <c r="J31" s="410">
        <f>'ADU-52'!$B$20</f>
        <v>15984</v>
      </c>
      <c r="K31" s="410">
        <f>'ADU-52'!$B$21</f>
        <v>0</v>
      </c>
      <c r="L31" s="419">
        <f>'ADU-52'!$B$23</f>
        <v>6.2562562562562567</v>
      </c>
      <c r="M31" s="420">
        <f>'ADU-52'!$B$24</f>
        <v>7.7922000000000011</v>
      </c>
      <c r="N31" s="413"/>
      <c r="O31" s="414" t="str">
        <f>'ADU-52'!$E$5</f>
        <v>Terminé</v>
      </c>
      <c r="P31" s="421">
        <f>'ADU-52'!$B$15</f>
        <v>2017</v>
      </c>
      <c r="Q31" s="416">
        <f t="shared" si="96"/>
        <v>7.7922000000000011</v>
      </c>
      <c r="R31" s="416">
        <f t="shared" si="97"/>
        <v>7.7922000000000011</v>
      </c>
      <c r="S31" s="416">
        <f t="shared" si="98"/>
        <v>0</v>
      </c>
      <c r="T31" s="416">
        <f t="shared" si="99"/>
        <v>0</v>
      </c>
      <c r="U31" s="416">
        <f t="shared" si="100"/>
        <v>0</v>
      </c>
      <c r="V31" s="416">
        <f t="shared" si="101"/>
        <v>0</v>
      </c>
      <c r="W31" s="416">
        <f t="shared" si="102"/>
        <v>0</v>
      </c>
      <c r="X31" s="416">
        <f t="shared" si="103"/>
        <v>7.7922000000000011</v>
      </c>
      <c r="Z31" s="501">
        <f t="shared" si="104"/>
        <v>0</v>
      </c>
      <c r="AA31" s="501">
        <f t="shared" si="105"/>
        <v>0</v>
      </c>
      <c r="AB31" s="501">
        <f t="shared" si="106"/>
        <v>0</v>
      </c>
      <c r="AC31" s="501">
        <f t="shared" si="107"/>
        <v>0</v>
      </c>
      <c r="AD31" s="416">
        <f t="shared" si="108"/>
        <v>0</v>
      </c>
      <c r="AE31" s="501">
        <f t="shared" si="109"/>
        <v>0</v>
      </c>
      <c r="AF31" s="503"/>
      <c r="AG31" s="501">
        <f t="shared" si="110"/>
        <v>0</v>
      </c>
      <c r="AH31" s="501">
        <f t="shared" si="111"/>
        <v>0</v>
      </c>
      <c r="AI31" s="501">
        <f t="shared" si="112"/>
        <v>0</v>
      </c>
      <c r="AJ31" s="501">
        <f t="shared" si="113"/>
        <v>0</v>
      </c>
      <c r="AK31" s="416">
        <f t="shared" si="114"/>
        <v>0</v>
      </c>
      <c r="AL31" s="501">
        <f t="shared" si="115"/>
        <v>0</v>
      </c>
      <c r="AM31" s="244"/>
      <c r="AN31" s="501">
        <f t="shared" si="116"/>
        <v>0</v>
      </c>
      <c r="AO31" s="501">
        <f t="shared" si="117"/>
        <v>0</v>
      </c>
      <c r="AP31" s="501">
        <f t="shared" si="118"/>
        <v>0</v>
      </c>
      <c r="AQ31" s="501">
        <f t="shared" si="119"/>
        <v>0</v>
      </c>
      <c r="AR31" s="501">
        <f t="shared" si="120"/>
        <v>0</v>
      </c>
      <c r="AS31" s="501">
        <f t="shared" si="121"/>
        <v>0</v>
      </c>
      <c r="AT31" s="501">
        <f t="shared" si="122"/>
        <v>0</v>
      </c>
      <c r="AU31" s="503"/>
      <c r="AV31" s="501">
        <f t="shared" si="123"/>
        <v>0</v>
      </c>
      <c r="AW31" s="501">
        <f t="shared" si="124"/>
        <v>0</v>
      </c>
      <c r="AX31" s="501">
        <f t="shared" si="125"/>
        <v>0</v>
      </c>
      <c r="AY31" s="501">
        <f t="shared" si="126"/>
        <v>0</v>
      </c>
      <c r="AZ31" s="501">
        <f t="shared" si="127"/>
        <v>0</v>
      </c>
      <c r="BA31" s="501">
        <f t="shared" si="128"/>
        <v>0</v>
      </c>
      <c r="BB31" s="501">
        <f t="shared" si="129"/>
        <v>0</v>
      </c>
      <c r="BC31" s="244"/>
      <c r="BD31" s="501">
        <f t="shared" si="130"/>
        <v>0</v>
      </c>
      <c r="BE31" s="501">
        <f t="shared" si="131"/>
        <v>0</v>
      </c>
      <c r="BF31" s="501">
        <f t="shared" si="132"/>
        <v>0</v>
      </c>
      <c r="BG31" s="501">
        <f t="shared" si="133"/>
        <v>0</v>
      </c>
      <c r="BH31" s="501">
        <f t="shared" si="134"/>
        <v>0</v>
      </c>
      <c r="BI31" s="501">
        <f t="shared" si="135"/>
        <v>0</v>
      </c>
      <c r="BJ31" s="501">
        <f t="shared" si="136"/>
        <v>0</v>
      </c>
      <c r="BK31" s="503"/>
      <c r="BL31" s="501">
        <f t="shared" si="137"/>
        <v>0</v>
      </c>
      <c r="BM31" s="501">
        <f t="shared" si="138"/>
        <v>0</v>
      </c>
      <c r="BN31" s="501">
        <f t="shared" si="139"/>
        <v>0</v>
      </c>
      <c r="BO31" s="501">
        <f t="shared" si="140"/>
        <v>0</v>
      </c>
      <c r="BP31" s="501">
        <f t="shared" si="141"/>
        <v>0</v>
      </c>
      <c r="BQ31" s="501">
        <f t="shared" si="142"/>
        <v>0</v>
      </c>
      <c r="BR31" s="501">
        <f t="shared" si="143"/>
        <v>0</v>
      </c>
    </row>
    <row r="32" spans="1:70" s="417" customFormat="1" x14ac:dyDescent="0.25">
      <c r="A32" s="756" t="s">
        <v>964</v>
      </c>
      <c r="B32" s="521" t="str">
        <f>'ADU-53'!$B$7</f>
        <v>Ecole de l'Etat Marbehan</v>
      </c>
      <c r="C32" s="521" t="str">
        <f>'ADU-53'!$B$8</f>
        <v>Chaudière et économie d'énergie</v>
      </c>
      <c r="D32" s="521" t="str">
        <f>'ADU-53'!$C$4</f>
        <v>Tertiaire</v>
      </c>
      <c r="E32" s="521" t="str">
        <f>'ADU-53'!$B$11</f>
        <v>Tertiaire</v>
      </c>
      <c r="F32" s="521" t="str">
        <f>'ADU-53'!$B$5</f>
        <v>Prêt bancaire</v>
      </c>
      <c r="G32" s="563">
        <f>'ADU-53'!$B$16</f>
        <v>200000</v>
      </c>
      <c r="H32" s="521" t="str">
        <f>'ADU-53'!$B$6</f>
        <v>Subs RW</v>
      </c>
      <c r="I32" s="563">
        <f>'ADU-53'!$B$17</f>
        <v>140000</v>
      </c>
      <c r="J32" s="563">
        <f>'ADU-53'!$B$20</f>
        <v>7000</v>
      </c>
      <c r="K32" s="563">
        <f>'ADU-53'!$B$21</f>
        <v>0</v>
      </c>
      <c r="L32" s="564">
        <f>'ADU-53'!$B$23</f>
        <v>8.5714285714285712</v>
      </c>
      <c r="M32" s="588">
        <f>'ADU-53'!$B$24</f>
        <v>26.1</v>
      </c>
      <c r="N32" s="566"/>
      <c r="O32" s="414" t="str">
        <f>'ADU-53'!$E$5</f>
        <v>Terminé</v>
      </c>
      <c r="P32" s="522">
        <f>'ADU-53'!$B$15</f>
        <v>2017</v>
      </c>
      <c r="Q32" s="523">
        <f t="shared" si="96"/>
        <v>26.1</v>
      </c>
      <c r="R32" s="523">
        <f t="shared" si="97"/>
        <v>26.1</v>
      </c>
      <c r="S32" s="523">
        <f t="shared" si="98"/>
        <v>0</v>
      </c>
      <c r="T32" s="523">
        <f t="shared" si="99"/>
        <v>0</v>
      </c>
      <c r="U32" s="523">
        <f t="shared" si="100"/>
        <v>0</v>
      </c>
      <c r="V32" s="416">
        <f t="shared" si="101"/>
        <v>26.1</v>
      </c>
      <c r="W32" s="416">
        <f t="shared" si="102"/>
        <v>0</v>
      </c>
      <c r="X32" s="416">
        <f t="shared" si="103"/>
        <v>0</v>
      </c>
      <c r="Z32" s="501">
        <f t="shared" si="104"/>
        <v>0</v>
      </c>
      <c r="AA32" s="501">
        <f t="shared" si="105"/>
        <v>0</v>
      </c>
      <c r="AB32" s="501">
        <f t="shared" si="106"/>
        <v>0</v>
      </c>
      <c r="AC32" s="501">
        <f t="shared" si="107"/>
        <v>0</v>
      </c>
      <c r="AD32" s="416">
        <f t="shared" si="108"/>
        <v>0</v>
      </c>
      <c r="AE32" s="501">
        <f t="shared" si="109"/>
        <v>0</v>
      </c>
      <c r="AF32" s="503"/>
      <c r="AG32" s="501">
        <f t="shared" si="110"/>
        <v>0</v>
      </c>
      <c r="AH32" s="501">
        <f t="shared" si="111"/>
        <v>0</v>
      </c>
      <c r="AI32" s="501">
        <f t="shared" si="112"/>
        <v>0</v>
      </c>
      <c r="AJ32" s="501">
        <f t="shared" si="113"/>
        <v>0</v>
      </c>
      <c r="AK32" s="416">
        <f t="shared" si="114"/>
        <v>0</v>
      </c>
      <c r="AL32" s="501">
        <f t="shared" si="115"/>
        <v>0</v>
      </c>
      <c r="AM32" s="244"/>
      <c r="AN32" s="501">
        <f t="shared" si="116"/>
        <v>0</v>
      </c>
      <c r="AO32" s="501">
        <f t="shared" si="117"/>
        <v>0</v>
      </c>
      <c r="AP32" s="501">
        <f t="shared" si="118"/>
        <v>0</v>
      </c>
      <c r="AQ32" s="501">
        <f t="shared" si="119"/>
        <v>0</v>
      </c>
      <c r="AR32" s="501">
        <f t="shared" si="120"/>
        <v>0</v>
      </c>
      <c r="AS32" s="501">
        <f t="shared" si="121"/>
        <v>0</v>
      </c>
      <c r="AT32" s="501">
        <f t="shared" si="122"/>
        <v>0</v>
      </c>
      <c r="AU32" s="503"/>
      <c r="AV32" s="501">
        <f t="shared" si="123"/>
        <v>0</v>
      </c>
      <c r="AW32" s="501">
        <f t="shared" si="124"/>
        <v>0</v>
      </c>
      <c r="AX32" s="501">
        <f t="shared" si="125"/>
        <v>0</v>
      </c>
      <c r="AY32" s="501">
        <f t="shared" si="126"/>
        <v>0</v>
      </c>
      <c r="AZ32" s="501">
        <f t="shared" si="127"/>
        <v>0</v>
      </c>
      <c r="BA32" s="501">
        <f t="shared" si="128"/>
        <v>0</v>
      </c>
      <c r="BB32" s="501">
        <f t="shared" si="129"/>
        <v>0</v>
      </c>
      <c r="BC32" s="244"/>
      <c r="BD32" s="501">
        <f t="shared" si="130"/>
        <v>0</v>
      </c>
      <c r="BE32" s="501">
        <f t="shared" si="131"/>
        <v>0</v>
      </c>
      <c r="BF32" s="501">
        <f t="shared" si="132"/>
        <v>0</v>
      </c>
      <c r="BG32" s="501">
        <f t="shared" si="133"/>
        <v>0</v>
      </c>
      <c r="BH32" s="501">
        <f t="shared" si="134"/>
        <v>0</v>
      </c>
      <c r="BI32" s="501">
        <f t="shared" si="135"/>
        <v>0</v>
      </c>
      <c r="BJ32" s="501">
        <f t="shared" si="136"/>
        <v>0</v>
      </c>
      <c r="BK32" s="503"/>
      <c r="BL32" s="501">
        <f t="shared" si="137"/>
        <v>0</v>
      </c>
      <c r="BM32" s="501">
        <f t="shared" si="138"/>
        <v>0</v>
      </c>
      <c r="BN32" s="501">
        <f t="shared" si="139"/>
        <v>0</v>
      </c>
      <c r="BO32" s="501">
        <f t="shared" si="140"/>
        <v>0</v>
      </c>
      <c r="BP32" s="501">
        <f t="shared" si="141"/>
        <v>0</v>
      </c>
      <c r="BQ32" s="501">
        <f t="shared" si="142"/>
        <v>0</v>
      </c>
      <c r="BR32" s="501">
        <f t="shared" si="143"/>
        <v>0</v>
      </c>
    </row>
    <row r="33" spans="1:70" s="417" customFormat="1" x14ac:dyDescent="0.25">
      <c r="A33" s="768" t="s">
        <v>157</v>
      </c>
      <c r="B33" s="409" t="str">
        <f>'ADU-6'!$B$7</f>
        <v>Projets de remplacement de chaudière</v>
      </c>
      <c r="C33" s="409" t="str">
        <f>'ADU-6'!$B$8</f>
        <v>Ensemble des projets de remplacement de chaudière dans les bâtiments communaux</v>
      </c>
      <c r="D33" s="409" t="str">
        <f>'ADU-6'!$C$4</f>
        <v>Communal</v>
      </c>
      <c r="E33" s="409" t="str">
        <f>'ADU-6'!$B$11</f>
        <v>AC HABAY</v>
      </c>
      <c r="F33" s="409" t="str">
        <f>'ADU-6'!$B$5</f>
        <v>Prêt bancaire</v>
      </c>
      <c r="G33" s="410">
        <f>'ADU-6'!$B$16</f>
        <v>57440</v>
      </c>
      <c r="H33" s="409" t="str">
        <f>'ADU-6'!$B$6</f>
        <v>Subs RW</v>
      </c>
      <c r="I33" s="410">
        <f>'ADU-6'!$B$17</f>
        <v>46642</v>
      </c>
      <c r="J33" s="410">
        <f>'ADU-6'!$B$20</f>
        <v>3053</v>
      </c>
      <c r="K33" s="410">
        <f>'ADU-6'!$B$21</f>
        <v>0</v>
      </c>
      <c r="L33" s="419">
        <f>'ADU-6'!$B$23</f>
        <v>3.5368490009826399</v>
      </c>
      <c r="M33" s="420">
        <f>'ADU-6'!$B$18/1000</f>
        <v>35.5</v>
      </c>
      <c r="N33" s="413"/>
      <c r="O33" s="414" t="str">
        <f>'ADU-6'!$E$5</f>
        <v>Terminé</v>
      </c>
      <c r="P33" s="421">
        <f>'ADU-6'!$B$15</f>
        <v>2016</v>
      </c>
      <c r="Q33" s="416">
        <f t="shared" si="0"/>
        <v>35.5</v>
      </c>
      <c r="R33" s="416">
        <f t="shared" si="41"/>
        <v>35.5</v>
      </c>
      <c r="S33" s="416">
        <f t="shared" si="42"/>
        <v>0</v>
      </c>
      <c r="T33" s="416">
        <f t="shared" si="43"/>
        <v>0</v>
      </c>
      <c r="U33" s="416">
        <f t="shared" si="44"/>
        <v>0</v>
      </c>
      <c r="V33" s="416">
        <f t="shared" si="45"/>
        <v>0</v>
      </c>
      <c r="W33" s="416">
        <f t="shared" si="46"/>
        <v>0</v>
      </c>
      <c r="X33" s="416">
        <f t="shared" si="47"/>
        <v>35.5</v>
      </c>
      <c r="Z33" s="501">
        <f t="shared" si="1"/>
        <v>0</v>
      </c>
      <c r="AA33" s="501">
        <f t="shared" si="2"/>
        <v>0</v>
      </c>
      <c r="AB33" s="501">
        <f t="shared" si="3"/>
        <v>0</v>
      </c>
      <c r="AC33" s="501">
        <f t="shared" si="4"/>
        <v>0</v>
      </c>
      <c r="AD33" s="416">
        <f t="shared" si="5"/>
        <v>0</v>
      </c>
      <c r="AE33" s="501">
        <f t="shared" si="6"/>
        <v>0</v>
      </c>
      <c r="AF33" s="503"/>
      <c r="AG33" s="501">
        <f t="shared" si="7"/>
        <v>0</v>
      </c>
      <c r="AH33" s="501">
        <f t="shared" si="8"/>
        <v>0</v>
      </c>
      <c r="AI33" s="501">
        <f t="shared" si="9"/>
        <v>0</v>
      </c>
      <c r="AJ33" s="501">
        <f t="shared" si="10"/>
        <v>0</v>
      </c>
      <c r="AK33" s="416">
        <f t="shared" si="11"/>
        <v>0</v>
      </c>
      <c r="AL33" s="501">
        <f t="shared" si="12"/>
        <v>0</v>
      </c>
      <c r="AM33" s="244"/>
      <c r="AN33" s="501">
        <f t="shared" si="13"/>
        <v>0</v>
      </c>
      <c r="AO33" s="501">
        <f t="shared" si="14"/>
        <v>0</v>
      </c>
      <c r="AP33" s="501">
        <f t="shared" si="15"/>
        <v>0</v>
      </c>
      <c r="AQ33" s="501">
        <f t="shared" si="16"/>
        <v>0</v>
      </c>
      <c r="AR33" s="501">
        <f t="shared" si="17"/>
        <v>0</v>
      </c>
      <c r="AS33" s="501">
        <f t="shared" si="18"/>
        <v>0</v>
      </c>
      <c r="AT33" s="501">
        <f t="shared" si="19"/>
        <v>0</v>
      </c>
      <c r="AU33" s="503"/>
      <c r="AV33" s="501">
        <f t="shared" si="20"/>
        <v>0</v>
      </c>
      <c r="AW33" s="501">
        <f t="shared" si="21"/>
        <v>0</v>
      </c>
      <c r="AX33" s="501">
        <f t="shared" si="22"/>
        <v>0</v>
      </c>
      <c r="AY33" s="501">
        <f t="shared" si="23"/>
        <v>0</v>
      </c>
      <c r="AZ33" s="501">
        <f t="shared" si="24"/>
        <v>0</v>
      </c>
      <c r="BA33" s="501">
        <f t="shared" si="25"/>
        <v>0</v>
      </c>
      <c r="BB33" s="501">
        <f t="shared" si="26"/>
        <v>0</v>
      </c>
      <c r="BC33" s="244"/>
      <c r="BD33" s="501">
        <f t="shared" si="27"/>
        <v>0</v>
      </c>
      <c r="BE33" s="501">
        <f t="shared" si="28"/>
        <v>0</v>
      </c>
      <c r="BF33" s="501">
        <f t="shared" si="29"/>
        <v>0</v>
      </c>
      <c r="BG33" s="501">
        <f t="shared" si="30"/>
        <v>0</v>
      </c>
      <c r="BH33" s="501">
        <f t="shared" si="31"/>
        <v>0</v>
      </c>
      <c r="BI33" s="501">
        <f t="shared" si="32"/>
        <v>0</v>
      </c>
      <c r="BJ33" s="501">
        <f t="shared" si="33"/>
        <v>0</v>
      </c>
      <c r="BK33" s="503"/>
      <c r="BL33" s="501">
        <f t="shared" si="34"/>
        <v>0</v>
      </c>
      <c r="BM33" s="501">
        <f t="shared" si="35"/>
        <v>0</v>
      </c>
      <c r="BN33" s="501">
        <f t="shared" si="36"/>
        <v>0</v>
      </c>
      <c r="BO33" s="501">
        <f t="shared" si="37"/>
        <v>0</v>
      </c>
      <c r="BP33" s="501">
        <f t="shared" si="38"/>
        <v>0</v>
      </c>
      <c r="BQ33" s="501">
        <f t="shared" si="39"/>
        <v>0</v>
      </c>
      <c r="BR33" s="501">
        <f t="shared" si="40"/>
        <v>0</v>
      </c>
    </row>
    <row r="34" spans="1:70" s="673" customFormat="1" x14ac:dyDescent="0.25">
      <c r="A34" s="773" t="s">
        <v>405</v>
      </c>
      <c r="B34" s="758" t="str">
        <f>'ADU-61'!$B$7</f>
        <v xml:space="preserve">Réduction de consommation </v>
      </c>
      <c r="C34" s="758" t="str">
        <f>'ADU-61'!$B$8</f>
        <v>Bilan des actions citoyennes de 2007 à 08/2014</v>
      </c>
      <c r="D34" s="758" t="str">
        <f>'ADU-61'!$C$4</f>
        <v>Logement</v>
      </c>
      <c r="E34" s="758" t="str">
        <f>'ADU-61'!$B$11</f>
        <v>Citoyen</v>
      </c>
      <c r="F34" s="758" t="str">
        <f>'ADU-61'!$B$5</f>
        <v>Prêt bancaire</v>
      </c>
      <c r="G34" s="759">
        <f>'ADU-61'!$B$16</f>
        <v>1767679.1233333333</v>
      </c>
      <c r="H34" s="758" t="str">
        <f>'ADU-61'!$B$6</f>
        <v>Prime RW</v>
      </c>
      <c r="I34" s="759">
        <f>'ADU-61'!$B$17</f>
        <v>579599.18999999994</v>
      </c>
      <c r="J34" s="759">
        <f>'ADU-61'!$B$20</f>
        <v>313193.48614862759</v>
      </c>
      <c r="K34" s="759">
        <f>'ADU-61'!$B$21</f>
        <v>0</v>
      </c>
      <c r="L34" s="760">
        <f>'ADU-61'!$B$23</f>
        <v>3.7934375581793671</v>
      </c>
      <c r="M34" s="767">
        <f>'ADU-61'!$B$18/1000</f>
        <v>3641.7847226584604</v>
      </c>
      <c r="N34" s="762"/>
      <c r="O34" s="763" t="str">
        <f>'ADU-61'!$E$5</f>
        <v>Ne pas réaliser</v>
      </c>
      <c r="P34" s="764">
        <f>'ADU-61'!$B$15</f>
        <v>2014</v>
      </c>
      <c r="Q34" s="672">
        <f t="shared" si="0"/>
        <v>0</v>
      </c>
      <c r="R34" s="672">
        <f>IF(O34="Terminé",M34,0)</f>
        <v>0</v>
      </c>
      <c r="S34" s="672">
        <f>IF(D34="Agriculture",R34,0)</f>
        <v>0</v>
      </c>
      <c r="T34" s="672">
        <f>IF(D34="Industrie", R34,0)</f>
        <v>0</v>
      </c>
      <c r="U34" s="672">
        <f>IF(D34="Logement", R34,0)</f>
        <v>0</v>
      </c>
      <c r="V34" s="672">
        <f>IF(D34="Tertiaire",R34,0)</f>
        <v>0</v>
      </c>
      <c r="W34" s="672">
        <f>IF(D34="Transport",R34,0)</f>
        <v>0</v>
      </c>
      <c r="X34" s="672">
        <f>IF(D34="Communal",R34,0)</f>
        <v>0</v>
      </c>
      <c r="Z34" s="672">
        <f t="shared" si="1"/>
        <v>0</v>
      </c>
      <c r="AA34" s="672">
        <f t="shared" si="2"/>
        <v>0</v>
      </c>
      <c r="AB34" s="672">
        <f t="shared" si="3"/>
        <v>0</v>
      </c>
      <c r="AC34" s="672">
        <f t="shared" si="4"/>
        <v>0</v>
      </c>
      <c r="AD34" s="672">
        <f t="shared" si="5"/>
        <v>0</v>
      </c>
      <c r="AE34" s="672">
        <f t="shared" si="6"/>
        <v>0</v>
      </c>
      <c r="AG34" s="672">
        <f t="shared" si="7"/>
        <v>0</v>
      </c>
      <c r="AH34" s="672">
        <f t="shared" si="8"/>
        <v>0</v>
      </c>
      <c r="AI34" s="672">
        <f t="shared" si="9"/>
        <v>0</v>
      </c>
      <c r="AJ34" s="672">
        <f t="shared" si="10"/>
        <v>0</v>
      </c>
      <c r="AK34" s="672">
        <f t="shared" si="11"/>
        <v>0</v>
      </c>
      <c r="AL34" s="672">
        <f t="shared" si="12"/>
        <v>0</v>
      </c>
      <c r="AN34" s="672">
        <f t="shared" si="13"/>
        <v>0</v>
      </c>
      <c r="AO34" s="672">
        <f t="shared" si="14"/>
        <v>0</v>
      </c>
      <c r="AP34" s="672">
        <f t="shared" si="15"/>
        <v>0</v>
      </c>
      <c r="AQ34" s="672">
        <f t="shared" si="16"/>
        <v>0</v>
      </c>
      <c r="AR34" s="672">
        <f t="shared" si="17"/>
        <v>0</v>
      </c>
      <c r="AS34" s="672">
        <f t="shared" si="18"/>
        <v>0</v>
      </c>
      <c r="AT34" s="672">
        <f t="shared" si="19"/>
        <v>0</v>
      </c>
      <c r="AV34" s="672">
        <f t="shared" si="20"/>
        <v>0</v>
      </c>
      <c r="AW34" s="672">
        <f t="shared" si="21"/>
        <v>0</v>
      </c>
      <c r="AX34" s="672">
        <f t="shared" si="22"/>
        <v>0</v>
      </c>
      <c r="AY34" s="672">
        <f t="shared" si="23"/>
        <v>0</v>
      </c>
      <c r="AZ34" s="672">
        <f t="shared" si="24"/>
        <v>0</v>
      </c>
      <c r="BA34" s="672">
        <f t="shared" si="25"/>
        <v>0</v>
      </c>
      <c r="BB34" s="672">
        <f t="shared" si="26"/>
        <v>0</v>
      </c>
      <c r="BD34" s="672">
        <f t="shared" si="27"/>
        <v>0</v>
      </c>
      <c r="BE34" s="672">
        <f t="shared" si="28"/>
        <v>0</v>
      </c>
      <c r="BF34" s="672">
        <f t="shared" si="29"/>
        <v>0</v>
      </c>
      <c r="BG34" s="672">
        <f t="shared" si="30"/>
        <v>0</v>
      </c>
      <c r="BH34" s="672">
        <f t="shared" si="31"/>
        <v>0</v>
      </c>
      <c r="BI34" s="672">
        <f t="shared" si="32"/>
        <v>0</v>
      </c>
      <c r="BJ34" s="672">
        <f t="shared" si="33"/>
        <v>0</v>
      </c>
      <c r="BL34" s="672">
        <f t="shared" si="34"/>
        <v>0</v>
      </c>
      <c r="BM34" s="672">
        <f t="shared" si="35"/>
        <v>0</v>
      </c>
      <c r="BN34" s="672">
        <f t="shared" si="36"/>
        <v>0</v>
      </c>
      <c r="BO34" s="672">
        <f t="shared" si="37"/>
        <v>0</v>
      </c>
      <c r="BP34" s="672">
        <f t="shared" si="38"/>
        <v>0</v>
      </c>
      <c r="BQ34" s="672">
        <f t="shared" si="39"/>
        <v>0</v>
      </c>
      <c r="BR34" s="672">
        <f t="shared" si="40"/>
        <v>0</v>
      </c>
    </row>
    <row r="35" spans="1:70" s="477" customFormat="1" x14ac:dyDescent="0.25">
      <c r="A35" s="676" t="s">
        <v>879</v>
      </c>
      <c r="B35" s="468" t="str">
        <f>'ADU-62'!$B$7</f>
        <v xml:space="preserve">Réduction de consommation </v>
      </c>
      <c r="C35" s="468" t="str">
        <f>'ADU-62'!$B$8</f>
        <v>Economies d'énergie dans le Logement 2006-2014</v>
      </c>
      <c r="D35" s="468" t="str">
        <f>'ADU-62'!$C$4</f>
        <v>Logement</v>
      </c>
      <c r="E35" s="468" t="str">
        <f>'ADU-62'!$B$11</f>
        <v>Citoyen</v>
      </c>
      <c r="F35" s="468" t="str">
        <f>'ADU-62'!$B$5</f>
        <v>Prêt bancaire</v>
      </c>
      <c r="G35" s="469">
        <f>'ADU-62'!$B$16</f>
        <v>8931170.9120635167</v>
      </c>
      <c r="H35" s="468" t="str">
        <f>'ADU-62'!$B$6</f>
        <v>Prime RW</v>
      </c>
      <c r="I35" s="469">
        <f>'ADU-62'!$B$17</f>
        <v>893117.09120635176</v>
      </c>
      <c r="J35" s="469">
        <f>'ADU-62'!$B$20</f>
        <v>15113064.934166837</v>
      </c>
      <c r="K35" s="469">
        <f>'ADU-62'!$B$21</f>
        <v>0</v>
      </c>
      <c r="L35" s="470">
        <f>'ADU-62'!$B$23</f>
        <v>0.53186126413611501</v>
      </c>
      <c r="M35" s="479">
        <f>'ADU-62'!$B$24</f>
        <v>4506.9959857308131</v>
      </c>
      <c r="N35" s="472"/>
      <c r="O35" s="473" t="str">
        <f>'ADU-62'!$E$5</f>
        <v>Terminé</v>
      </c>
      <c r="P35" s="474">
        <f>'ADU-62'!$B$15</f>
        <v>2014</v>
      </c>
      <c r="Q35" s="475">
        <f t="shared" ref="Q35" si="144">IF(O35="Terminé",M35,0)</f>
        <v>4506.9959857308131</v>
      </c>
      <c r="R35" s="475">
        <f>IF(O35="Terminé",M35,0)</f>
        <v>4506.9959857308131</v>
      </c>
      <c r="S35" s="475">
        <f>IF(D35="Agriculture",R35,0)</f>
        <v>0</v>
      </c>
      <c r="T35" s="475">
        <f>IF(D35="Industrie", R35,0)</f>
        <v>0</v>
      </c>
      <c r="U35" s="475">
        <f>IF(D35="Logement", R35,0)</f>
        <v>4506.9959857308131</v>
      </c>
      <c r="V35" s="475">
        <f>IF(D35="Tertiaire",R35,0)</f>
        <v>0</v>
      </c>
      <c r="W35" s="475">
        <f>IF(D35="Transport",R35,0)</f>
        <v>0</v>
      </c>
      <c r="X35" s="475">
        <f>IF(D35="Communal",R35,0)</f>
        <v>0</v>
      </c>
      <c r="Z35" s="501">
        <f t="shared" ref="Z35" si="145">IF((O35="A faire")*AND(E35="Agriculture"),G35,0)</f>
        <v>0</v>
      </c>
      <c r="AA35" s="501">
        <f t="shared" ref="AA35" si="146">IF((O35="A faire")*AND(E35="Industrie"),G35,0)</f>
        <v>0</v>
      </c>
      <c r="AB35" s="501">
        <f t="shared" ref="AB35" si="147">IF((O35="A faire")*AND(E35="Citoyen"),G35,0)</f>
        <v>0</v>
      </c>
      <c r="AC35" s="501">
        <f t="shared" ref="AC35" si="148">IF((O35="A faire")*AND(E35="IDELUX"),G35,0)</f>
        <v>0</v>
      </c>
      <c r="AD35" s="416">
        <f t="shared" ref="AD35" si="149">IF((O35="A faire")*AND(E35="AC HABAY"),G35,0)</f>
        <v>0</v>
      </c>
      <c r="AE35" s="501">
        <f t="shared" ref="AE35" si="150">IF((O35="A faire")*AND(E35="Tertiaire"),G35,0)</f>
        <v>0</v>
      </c>
      <c r="AF35" s="503"/>
      <c r="AG35" s="501">
        <f t="shared" ref="AG35" si="151">IF((O35="A faire")*AND(E35="Agriculture"),I35,0)</f>
        <v>0</v>
      </c>
      <c r="AH35" s="501">
        <f t="shared" ref="AH35" si="152">IF((O35="A faire")*AND(E35="Industrie"),I35,0)</f>
        <v>0</v>
      </c>
      <c r="AI35" s="501">
        <f t="shared" ref="AI35" si="153">IF((O35="A faire")*AND(E35="Citoyen"),I35,0)</f>
        <v>0</v>
      </c>
      <c r="AJ35" s="501">
        <f t="shared" ref="AJ35" si="154">IF((O35="A faire")*AND(E35="IDELUX"),I35,0)</f>
        <v>0</v>
      </c>
      <c r="AK35" s="416">
        <f t="shared" ref="AK35" si="155">IF((O35="A faire")*AND(E35="AC HABAY"),I35,0)</f>
        <v>0</v>
      </c>
      <c r="AL35" s="501">
        <f t="shared" ref="AL35" si="156">IF((O35="A faire")*AND(E35="Tertiaire"),I35,0)</f>
        <v>0</v>
      </c>
      <c r="AM35" s="244"/>
      <c r="AN35" s="501">
        <f t="shared" ref="AN35" si="157">IF((O35="A faire")*AND(D35="Territoire"),G35,0)</f>
        <v>0</v>
      </c>
      <c r="AO35" s="501">
        <f t="shared" ref="AO35" si="158">IF((O35="A faire")*AND(D35="Agriculture"),G35,0)</f>
        <v>0</v>
      </c>
      <c r="AP35" s="501">
        <f t="shared" ref="AP35" si="159">IF((O35="A faire")*AND(D35="Industrie"),G35,0)</f>
        <v>0</v>
      </c>
      <c r="AQ35" s="501">
        <f t="shared" ref="AQ35" si="160">IF((O35="A faire")*AND(D35="Logement"),G35,0)</f>
        <v>0</v>
      </c>
      <c r="AR35" s="501">
        <f t="shared" ref="AR35" si="161">IF((O35="A faire")*AND(D35="Tertiaire"),G35,0)</f>
        <v>0</v>
      </c>
      <c r="AS35" s="501">
        <f t="shared" ref="AS35" si="162">IF((O35="A faire")*AND(D35="Transport"),G35,0)</f>
        <v>0</v>
      </c>
      <c r="AT35" s="501">
        <f t="shared" ref="AT35" si="163">IF((O35="A faire")*AND(D35="Communal"),G35,0)</f>
        <v>0</v>
      </c>
      <c r="AU35" s="503"/>
      <c r="AV35" s="501">
        <f t="shared" ref="AV35" si="164">IF((O35="A faire")*AND(D35="Territoire"),I35,0)</f>
        <v>0</v>
      </c>
      <c r="AW35" s="501">
        <f t="shared" ref="AW35" si="165">IF((O35="A faire")*AND(D35="Agriculture"),I35,0)</f>
        <v>0</v>
      </c>
      <c r="AX35" s="501">
        <f t="shared" ref="AX35" si="166">IF((O35="A faire")*AND(D35="Industrie"),I35,0)</f>
        <v>0</v>
      </c>
      <c r="AY35" s="501">
        <f t="shared" ref="AY35" si="167">IF((O35="A faire")*AND(D35="Logement"),I35,0)</f>
        <v>0</v>
      </c>
      <c r="AZ35" s="501">
        <f t="shared" ref="AZ35" si="168">IF((O35="A faire")*AND(D35="Tertiaire"),I35,0)</f>
        <v>0</v>
      </c>
      <c r="BA35" s="501">
        <f t="shared" ref="BA35" si="169">IF((O35="A faire")*AND(D35="Transport"),I35,0)</f>
        <v>0</v>
      </c>
      <c r="BB35" s="501">
        <f t="shared" ref="BB35" si="170">IF((O35="A faire")*AND(D35="Communal"),I35,0)</f>
        <v>0</v>
      </c>
      <c r="BC35" s="244"/>
      <c r="BD35" s="501">
        <f t="shared" ref="BD35" si="171">IF((O35="A faire")*AND(D35="Territoire"),J35,0)</f>
        <v>0</v>
      </c>
      <c r="BE35" s="501">
        <f t="shared" ref="BE35" si="172">IF((O35="A faire")*AND(D35="Agriculture"),J35,0)</f>
        <v>0</v>
      </c>
      <c r="BF35" s="501">
        <f t="shared" ref="BF35" si="173">IF((O35="A faire")*AND(D35="Industrie"),J35,0)</f>
        <v>0</v>
      </c>
      <c r="BG35" s="501">
        <f t="shared" ref="BG35" si="174">IF((O35="A faire")*AND(D35="Logement"),J35,0)</f>
        <v>0</v>
      </c>
      <c r="BH35" s="501">
        <f t="shared" ref="BH35" si="175">IF((O35="A faire")*AND(D35="Tertiaire"),2,0)</f>
        <v>0</v>
      </c>
      <c r="BI35" s="501">
        <f t="shared" ref="BI35" si="176">IF((O35="A faire")*AND(D35="Transport"),J35,0)</f>
        <v>0</v>
      </c>
      <c r="BJ35" s="501">
        <f t="shared" ref="BJ35" si="177">IF((O35="A faire")*AND(D35="Communal"),J35,0)</f>
        <v>0</v>
      </c>
      <c r="BK35" s="503"/>
      <c r="BL35" s="501">
        <f t="shared" ref="BL35" si="178">IF((O35="A faire")*AND(D35="Territoire"),K35,0)</f>
        <v>0</v>
      </c>
      <c r="BM35" s="501">
        <f t="shared" ref="BM35" si="179">IF((O35="A faire")*AND(D35="Agriculture"),K35,0)</f>
        <v>0</v>
      </c>
      <c r="BN35" s="501">
        <f t="shared" ref="BN35" si="180">IF((O35="A faire")*AND(D35="Industrie"),K35,0)</f>
        <v>0</v>
      </c>
      <c r="BO35" s="501">
        <f t="shared" ref="BO35" si="181">IF((O35="A faire")*AND(D35="Logement"),K35,0)</f>
        <v>0</v>
      </c>
      <c r="BP35" s="501">
        <f t="shared" ref="BP35" si="182">IF((O35="A faire")*AND(D35="Tertiaire"),K35,0)</f>
        <v>0</v>
      </c>
      <c r="BQ35" s="501">
        <f t="shared" ref="BQ35" si="183">IF((O35="A faire")*AND(D35="Transport"),K35,0)</f>
        <v>0</v>
      </c>
      <c r="BR35" s="501">
        <f t="shared" ref="BR35" si="184">IF((O35="A faire")*AND(D35="Communal"),K35,0)</f>
        <v>0</v>
      </c>
    </row>
    <row r="36" spans="1:70" s="417" customFormat="1" x14ac:dyDescent="0.25">
      <c r="A36" s="768" t="s">
        <v>162</v>
      </c>
      <c r="B36" s="409" t="str">
        <f>'ADU-7'!$B$7</f>
        <v>Réduction de la consommation électrique</v>
      </c>
      <c r="C36" s="409" t="str">
        <f>'ADU-7'!$B$8</f>
        <v>Ensemble des projets de réduction de consommation électrique dans les bâtiments communaux</v>
      </c>
      <c r="D36" s="409" t="str">
        <f>'ADU-7'!$C$4</f>
        <v>Communal</v>
      </c>
      <c r="E36" s="409" t="str">
        <f>'ADU-7'!$B$11</f>
        <v>AC HABAY</v>
      </c>
      <c r="F36" s="409" t="str">
        <f>'ADU-7'!$B$5</f>
        <v>Prêt bancaire</v>
      </c>
      <c r="G36" s="410">
        <f>'ADU-7'!$B$16</f>
        <v>60262</v>
      </c>
      <c r="H36" s="409" t="str">
        <f>'ADU-7'!$B$6</f>
        <v>Subs RW</v>
      </c>
      <c r="I36" s="410">
        <f>'ADU-7'!$B$17</f>
        <v>47169</v>
      </c>
      <c r="J36" s="410">
        <f>'ADU-7'!$B$20</f>
        <v>4339.2</v>
      </c>
      <c r="K36" s="410">
        <f>'ADU-7'!$B$21</f>
        <v>0</v>
      </c>
      <c r="L36" s="419">
        <f>'ADU-7'!$B$23</f>
        <v>3.0173764749262539</v>
      </c>
      <c r="M36" s="420">
        <f>'ADU-7'!$B$18/1000</f>
        <v>18.079999999999998</v>
      </c>
      <c r="N36" s="413"/>
      <c r="O36" s="414" t="str">
        <f>'ADU-7'!$E$5</f>
        <v>Terminé</v>
      </c>
      <c r="P36" s="421">
        <f>'ADU-7'!$B$15</f>
        <v>2016</v>
      </c>
      <c r="Q36" s="416">
        <f t="shared" si="0"/>
        <v>18.079999999999998</v>
      </c>
      <c r="R36" s="416">
        <f t="shared" si="41"/>
        <v>18.079999999999998</v>
      </c>
      <c r="S36" s="416">
        <f t="shared" si="42"/>
        <v>0</v>
      </c>
      <c r="T36" s="416">
        <f t="shared" si="43"/>
        <v>0</v>
      </c>
      <c r="U36" s="416">
        <f t="shared" si="44"/>
        <v>0</v>
      </c>
      <c r="V36" s="416">
        <f t="shared" si="45"/>
        <v>0</v>
      </c>
      <c r="W36" s="416">
        <f t="shared" si="46"/>
        <v>0</v>
      </c>
      <c r="X36" s="416">
        <f t="shared" si="47"/>
        <v>18.079999999999998</v>
      </c>
      <c r="Z36" s="416">
        <f t="shared" si="1"/>
        <v>0</v>
      </c>
      <c r="AA36" s="416">
        <f t="shared" si="2"/>
        <v>0</v>
      </c>
      <c r="AB36" s="416">
        <f t="shared" si="3"/>
        <v>0</v>
      </c>
      <c r="AC36" s="416">
        <f t="shared" si="4"/>
        <v>0</v>
      </c>
      <c r="AD36" s="416">
        <f t="shared" si="5"/>
        <v>0</v>
      </c>
      <c r="AE36" s="416">
        <f t="shared" si="6"/>
        <v>0</v>
      </c>
      <c r="AG36" s="416">
        <f t="shared" si="7"/>
        <v>0</v>
      </c>
      <c r="AH36" s="416">
        <f t="shared" si="8"/>
        <v>0</v>
      </c>
      <c r="AI36" s="416">
        <f t="shared" si="9"/>
        <v>0</v>
      </c>
      <c r="AJ36" s="416">
        <f t="shared" si="10"/>
        <v>0</v>
      </c>
      <c r="AK36" s="416">
        <f t="shared" si="11"/>
        <v>0</v>
      </c>
      <c r="AL36" s="416">
        <f t="shared" si="12"/>
        <v>0</v>
      </c>
      <c r="AM36" s="244"/>
      <c r="AN36" s="416">
        <f t="shared" si="13"/>
        <v>0</v>
      </c>
      <c r="AO36" s="416">
        <f t="shared" si="14"/>
        <v>0</v>
      </c>
      <c r="AP36" s="416">
        <f t="shared" si="15"/>
        <v>0</v>
      </c>
      <c r="AQ36" s="416">
        <f t="shared" si="16"/>
        <v>0</v>
      </c>
      <c r="AR36" s="416">
        <f t="shared" si="17"/>
        <v>0</v>
      </c>
      <c r="AS36" s="416">
        <f t="shared" si="18"/>
        <v>0</v>
      </c>
      <c r="AT36" s="416">
        <f t="shared" si="19"/>
        <v>0</v>
      </c>
      <c r="AV36" s="416">
        <f t="shared" si="20"/>
        <v>0</v>
      </c>
      <c r="AW36" s="416">
        <f t="shared" si="21"/>
        <v>0</v>
      </c>
      <c r="AX36" s="416">
        <f t="shared" si="22"/>
        <v>0</v>
      </c>
      <c r="AY36" s="416">
        <f t="shared" si="23"/>
        <v>0</v>
      </c>
      <c r="AZ36" s="416">
        <f t="shared" si="24"/>
        <v>0</v>
      </c>
      <c r="BA36" s="416">
        <f t="shared" si="25"/>
        <v>0</v>
      </c>
      <c r="BB36" s="416">
        <f t="shared" si="26"/>
        <v>0</v>
      </c>
      <c r="BC36" s="244"/>
      <c r="BD36" s="416">
        <f t="shared" si="27"/>
        <v>0</v>
      </c>
      <c r="BE36" s="416">
        <f t="shared" si="28"/>
        <v>0</v>
      </c>
      <c r="BF36" s="416">
        <f t="shared" si="29"/>
        <v>0</v>
      </c>
      <c r="BG36" s="416">
        <f t="shared" si="30"/>
        <v>0</v>
      </c>
      <c r="BH36" s="416">
        <f t="shared" si="31"/>
        <v>0</v>
      </c>
      <c r="BI36" s="416">
        <f t="shared" si="32"/>
        <v>0</v>
      </c>
      <c r="BJ36" s="416">
        <f t="shared" si="33"/>
        <v>0</v>
      </c>
      <c r="BL36" s="416">
        <f t="shared" si="34"/>
        <v>0</v>
      </c>
      <c r="BM36" s="416">
        <f t="shared" si="35"/>
        <v>0</v>
      </c>
      <c r="BN36" s="416">
        <f t="shared" si="36"/>
        <v>0</v>
      </c>
      <c r="BO36" s="416">
        <f t="shared" si="37"/>
        <v>0</v>
      </c>
      <c r="BP36" s="416">
        <f t="shared" si="38"/>
        <v>0</v>
      </c>
      <c r="BQ36" s="416">
        <f t="shared" si="39"/>
        <v>0</v>
      </c>
      <c r="BR36" s="416">
        <f t="shared" si="40"/>
        <v>0</v>
      </c>
    </row>
    <row r="37" spans="1:70" s="576" customFormat="1" x14ac:dyDescent="0.25">
      <c r="A37" s="785" t="s">
        <v>166</v>
      </c>
      <c r="B37" s="569" t="str">
        <f>'ADU-8'!$B$7</f>
        <v>Réseau de chaleur</v>
      </c>
      <c r="C37" s="569" t="str">
        <f>'ADU-8'!$B$8</f>
        <v>Réseau de chaleur pour divers bâtiments communaux</v>
      </c>
      <c r="D37" s="569" t="str">
        <f>'ADU-8'!$C$4</f>
        <v>Communal</v>
      </c>
      <c r="E37" s="569" t="str">
        <f>'ADU-8'!$B$11</f>
        <v>AC HABAY</v>
      </c>
      <c r="F37" s="569" t="str">
        <f>'ADU-8'!$B$5</f>
        <v>Prêt bancaire</v>
      </c>
      <c r="G37" s="570">
        <f>'ADU-8'!$B$16</f>
        <v>1266000</v>
      </c>
      <c r="H37" s="569" t="str">
        <f>'ADU-8'!$B$6</f>
        <v>Subs RW</v>
      </c>
      <c r="I37" s="570">
        <f>'ADU-8'!$B$17</f>
        <v>500000</v>
      </c>
      <c r="J37" s="570">
        <f>'ADU-8'!$B$20</f>
        <v>326800</v>
      </c>
      <c r="K37" s="570">
        <f>'ADU-8'!$B$21</f>
        <v>0</v>
      </c>
      <c r="L37" s="571">
        <f>'ADU-8'!$B$23</f>
        <v>2.3439412484700122</v>
      </c>
      <c r="M37" s="589">
        <f>'ADU-8'!$B$18/1000</f>
        <v>3800</v>
      </c>
      <c r="N37" s="572"/>
      <c r="O37" s="573" t="str">
        <f>'ADU-8'!$E$5</f>
        <v>Terminé</v>
      </c>
      <c r="P37" s="574">
        <f>'ADU-8'!$B$15</f>
        <v>2017</v>
      </c>
      <c r="Q37" s="575">
        <f>IF(O37="Terminé",M37,0)</f>
        <v>3800</v>
      </c>
      <c r="R37" s="575">
        <f t="shared" si="41"/>
        <v>3800</v>
      </c>
      <c r="S37" s="575">
        <f t="shared" si="42"/>
        <v>0</v>
      </c>
      <c r="T37" s="575">
        <f t="shared" si="43"/>
        <v>0</v>
      </c>
      <c r="U37" s="575">
        <f t="shared" si="44"/>
        <v>0</v>
      </c>
      <c r="V37" s="575">
        <f t="shared" si="45"/>
        <v>0</v>
      </c>
      <c r="W37" s="575">
        <f t="shared" si="46"/>
        <v>0</v>
      </c>
      <c r="X37" s="575">
        <f t="shared" si="47"/>
        <v>3800</v>
      </c>
      <c r="Z37" s="416">
        <f>IF((O37="A faire")*AND(E37="Agriculture"),G37,0)</f>
        <v>0</v>
      </c>
      <c r="AA37" s="416">
        <f>IF((O37="A faire")*AND(E37="Industrie"),G37,0)</f>
        <v>0</v>
      </c>
      <c r="AB37" s="416">
        <f>IF((O37="A faire")*AND(E37="Citoyen"),G37,0)</f>
        <v>0</v>
      </c>
      <c r="AC37" s="416">
        <f>IF((O37="A faire")*AND(E37="IDELUX"),G37,0)</f>
        <v>0</v>
      </c>
      <c r="AD37" s="416">
        <f t="shared" si="5"/>
        <v>0</v>
      </c>
      <c r="AE37" s="416">
        <f>IF((O37="A faire")*AND(E37="Tertiaire"),G37,0)</f>
        <v>0</v>
      </c>
      <c r="AF37" s="417"/>
      <c r="AG37" s="416">
        <f>IF((O37="A faire")*AND(E37="Agriculture"),I37,0)</f>
        <v>0</v>
      </c>
      <c r="AH37" s="416">
        <f>IF((O37="A faire")*AND(E37="Industrie"),I37,0)</f>
        <v>0</v>
      </c>
      <c r="AI37" s="416">
        <f>IF((O37="A faire")*AND(E37="Citoyen"),I37,0)</f>
        <v>0</v>
      </c>
      <c r="AJ37" s="416">
        <f>IF((O37="A faire")*AND(E37="IDELUX"),I37,0)</f>
        <v>0</v>
      </c>
      <c r="AK37" s="416">
        <f t="shared" si="11"/>
        <v>0</v>
      </c>
      <c r="AL37" s="416">
        <f>IF((O37="A faire")*AND(E37="Tertiaire"),I37,0)</f>
        <v>0</v>
      </c>
      <c r="AM37" s="665"/>
      <c r="AN37" s="416">
        <f>IF((O37="A faire")*AND(D37="Territoire"),G37,0)</f>
        <v>0</v>
      </c>
      <c r="AO37" s="416">
        <f>IF((O37="A faire")*AND(D37="Agriculture"),G37,0)</f>
        <v>0</v>
      </c>
      <c r="AP37" s="416">
        <f>IF((O37="A faire")*AND(D37="Industrie"),G37,0)</f>
        <v>0</v>
      </c>
      <c r="AQ37" s="416">
        <f>IF((O37="A faire")*AND(D37="Logement"),G37,0)</f>
        <v>0</v>
      </c>
      <c r="AR37" s="416">
        <f>IF((O37="A faire")*AND(D37="Tertiaire"),G37,0)</f>
        <v>0</v>
      </c>
      <c r="AS37" s="416">
        <f>IF((O37="A faire")*AND(D37="Transport"),G37,0)</f>
        <v>0</v>
      </c>
      <c r="AT37" s="416">
        <f>IF((O37="A faire")*AND(D37="Communal"),G37,0)</f>
        <v>0</v>
      </c>
      <c r="AU37" s="417"/>
      <c r="AV37" s="416">
        <f>IF((O37="A faire")*AND(D37="Territoire"),I37,0)</f>
        <v>0</v>
      </c>
      <c r="AW37" s="416">
        <f>IF((O37="A faire")*AND(D37="Agriculture"),I37,0)</f>
        <v>0</v>
      </c>
      <c r="AX37" s="416">
        <f>IF((O37="A faire")*AND(D37="Industrie"),I37,0)</f>
        <v>0</v>
      </c>
      <c r="AY37" s="416">
        <f>IF((O37="A faire")*AND(D37="Logement"),I37,0)</f>
        <v>0</v>
      </c>
      <c r="AZ37" s="416">
        <f>IF((O37="A faire")*AND(D37="Tertiaire"),I37,0)</f>
        <v>0</v>
      </c>
      <c r="BA37" s="416">
        <f>IF((O37="A faire")*AND(D37="Transport"),I37,0)</f>
        <v>0</v>
      </c>
      <c r="BB37" s="416">
        <f>IF((O37="A faire")*AND(D37="Communal"),I37,0)</f>
        <v>0</v>
      </c>
      <c r="BC37" s="665"/>
      <c r="BD37" s="416">
        <f>IF((O37="A faire")*AND(D37="Territoire"),J37,0)</f>
        <v>0</v>
      </c>
      <c r="BE37" s="416">
        <f>IF((O37="A faire")*AND(D37="Agriculture"),J37,0)</f>
        <v>0</v>
      </c>
      <c r="BF37" s="416">
        <f>IF((O37="A faire")*AND(D37="Industrie"),J37,0)</f>
        <v>0</v>
      </c>
      <c r="BG37" s="416">
        <f>IF((O37="A faire")*AND(D37="Logement"),J37,0)</f>
        <v>0</v>
      </c>
      <c r="BH37" s="416">
        <f>IF((O37="A faire")*AND(D37="Tertiaire"),2,0)</f>
        <v>0</v>
      </c>
      <c r="BI37" s="416">
        <f>IF((O37="A faire")*AND(D37="Transport"),J37,0)</f>
        <v>0</v>
      </c>
      <c r="BJ37" s="416">
        <f>IF((O37="A faire")*AND(D37="Communal"),J37,0)</f>
        <v>0</v>
      </c>
      <c r="BK37" s="417"/>
      <c r="BL37" s="416">
        <f>IF((O37="A faire")*AND(D37="Territoire"),K37,0)</f>
        <v>0</v>
      </c>
      <c r="BM37" s="416">
        <f>IF((O37="A faire")*AND(D37="Agriculture"),K37,0)</f>
        <v>0</v>
      </c>
      <c r="BN37" s="416">
        <f>IF((O37="A faire")*AND(D37="Industrie"),K37,0)</f>
        <v>0</v>
      </c>
      <c r="BO37" s="416">
        <f>IF((O37="A faire")*AND(D37="Logement"),K37,0)</f>
        <v>0</v>
      </c>
      <c r="BP37" s="416">
        <f>IF((O37="A faire")*AND(D37="Tertiaire"),K37,0)</f>
        <v>0</v>
      </c>
      <c r="BQ37" s="416">
        <f>IF((O37="A faire")*AND(D37="Transport"),K37,0)</f>
        <v>0</v>
      </c>
      <c r="BR37" s="416">
        <f>IF((O37="A faire")*AND(D37="Communal"),K37,0)</f>
        <v>0</v>
      </c>
    </row>
    <row r="38" spans="1:70" s="576" customFormat="1" x14ac:dyDescent="0.25">
      <c r="A38" s="785" t="s">
        <v>170</v>
      </c>
      <c r="B38" s="569" t="str">
        <f>'ADU-9'!$B$7</f>
        <v>Mini réseau de chaleur</v>
      </c>
      <c r="C38" s="569" t="str">
        <f>'ADU-9'!$B$8</f>
        <v>Mini réseau de chaleur pour divers bâtiments communaux</v>
      </c>
      <c r="D38" s="569" t="str">
        <f>'ADU-9'!$C$4</f>
        <v>Communal</v>
      </c>
      <c r="E38" s="569" t="str">
        <f>'ADU-9'!$B$11</f>
        <v>AC HABAY</v>
      </c>
      <c r="F38" s="569" t="str">
        <f>'ADU-9'!$B$5</f>
        <v>Prêt bancaire</v>
      </c>
      <c r="G38" s="570">
        <f>'ADU-9'!$B$16</f>
        <v>450000</v>
      </c>
      <c r="H38" s="569" t="str">
        <f>'ADU-9'!$B$6</f>
        <v>Subs RW</v>
      </c>
      <c r="I38" s="570">
        <f>'ADU-9'!$B$17</f>
        <v>90000</v>
      </c>
      <c r="J38" s="570">
        <f>'ADU-9'!$B$20</f>
        <v>16818</v>
      </c>
      <c r="K38" s="570">
        <f>'ADU-9'!$B$21</f>
        <v>0</v>
      </c>
      <c r="L38" s="571">
        <f>'ADU-9'!$B$23</f>
        <v>21.405636817695328</v>
      </c>
      <c r="M38" s="589">
        <f>'ADU-9'!$B$18/1000</f>
        <v>466</v>
      </c>
      <c r="N38" s="572"/>
      <c r="O38" s="573" t="str">
        <f>'ADU-9'!$E$5</f>
        <v>Terminé</v>
      </c>
      <c r="P38" s="574">
        <f>'ADU-9'!$B$15</f>
        <v>2017</v>
      </c>
      <c r="Q38" s="575">
        <f>IF(O38="Terminé",M38,0)</f>
        <v>466</v>
      </c>
      <c r="R38" s="575">
        <f t="shared" si="41"/>
        <v>466</v>
      </c>
      <c r="S38" s="575">
        <f t="shared" si="42"/>
        <v>0</v>
      </c>
      <c r="T38" s="575">
        <f t="shared" si="43"/>
        <v>0</v>
      </c>
      <c r="U38" s="575">
        <f t="shared" si="44"/>
        <v>0</v>
      </c>
      <c r="V38" s="575">
        <f t="shared" si="45"/>
        <v>0</v>
      </c>
      <c r="W38" s="575">
        <f t="shared" si="46"/>
        <v>0</v>
      </c>
      <c r="X38" s="575">
        <f t="shared" si="47"/>
        <v>466</v>
      </c>
      <c r="Z38" s="416">
        <f>IF((O38="A faire")*AND(E38="Agriculture"),G38,0)</f>
        <v>0</v>
      </c>
      <c r="AA38" s="416">
        <f>IF((O38="A faire")*AND(E38="Industrie"),G38,0)</f>
        <v>0</v>
      </c>
      <c r="AB38" s="416">
        <f>IF((O38="A faire")*AND(E38="Citoyen"),G38,0)</f>
        <v>0</v>
      </c>
      <c r="AC38" s="416">
        <f>IF((O38="A faire")*AND(E38="IDELUX"),G38,0)</f>
        <v>0</v>
      </c>
      <c r="AD38" s="416">
        <f t="shared" si="5"/>
        <v>0</v>
      </c>
      <c r="AE38" s="416">
        <f>IF((O38="A faire")*AND(E38="Tertiaire"),G38,0)</f>
        <v>0</v>
      </c>
      <c r="AF38" s="417"/>
      <c r="AG38" s="416">
        <f>IF((O38="A faire")*AND(E38="Agriculture"),I38,0)</f>
        <v>0</v>
      </c>
      <c r="AH38" s="416">
        <f>IF((O38="A faire")*AND(E38="Industrie"),I38,0)</f>
        <v>0</v>
      </c>
      <c r="AI38" s="416">
        <f>IF((O38="A faire")*AND(E38="Citoyen"),I38,0)</f>
        <v>0</v>
      </c>
      <c r="AJ38" s="416">
        <f>IF((O38="A faire")*AND(E38="IDELUX"),I38,0)</f>
        <v>0</v>
      </c>
      <c r="AK38" s="416">
        <f t="shared" si="11"/>
        <v>0</v>
      </c>
      <c r="AL38" s="416">
        <f>IF((O38="A faire")*AND(E38="Tertiaire"),I38,0)</f>
        <v>0</v>
      </c>
      <c r="AM38" s="665"/>
      <c r="AN38" s="416">
        <f>IF((O38="A faire")*AND(D38="Territoire"),G38,0)</f>
        <v>0</v>
      </c>
      <c r="AO38" s="416">
        <f>IF((O38="A faire")*AND(D38="Agriculture"),G38,0)</f>
        <v>0</v>
      </c>
      <c r="AP38" s="416">
        <f>IF((O38="A faire")*AND(D38="Industrie"),G38,0)</f>
        <v>0</v>
      </c>
      <c r="AQ38" s="416">
        <f>IF((O38="A faire")*AND(D38="Logement"),G38,0)</f>
        <v>0</v>
      </c>
      <c r="AR38" s="416">
        <f>IF((O38="A faire")*AND(D38="Tertiaire"),G38,0)</f>
        <v>0</v>
      </c>
      <c r="AS38" s="416">
        <f>IF((O38="A faire")*AND(D38="Transport"),G38,0)</f>
        <v>0</v>
      </c>
      <c r="AT38" s="416">
        <f>IF((O38="A faire")*AND(D38="Communal"),G38,0)</f>
        <v>0</v>
      </c>
      <c r="AU38" s="417"/>
      <c r="AV38" s="416">
        <f>IF((O38="A faire")*AND(D38="Territoire"),I38,0)</f>
        <v>0</v>
      </c>
      <c r="AW38" s="416">
        <f>IF((O38="A faire")*AND(D38="Agriculture"),I38,0)</f>
        <v>0</v>
      </c>
      <c r="AX38" s="416">
        <f>IF((O38="A faire")*AND(D38="Industrie"),I38,0)</f>
        <v>0</v>
      </c>
      <c r="AY38" s="416">
        <f>IF((O38="A faire")*AND(D38="Logement"),I38,0)</f>
        <v>0</v>
      </c>
      <c r="AZ38" s="416">
        <f>IF((O38="A faire")*AND(D38="Tertiaire"),I38,0)</f>
        <v>0</v>
      </c>
      <c r="BA38" s="416">
        <f>IF((O38="A faire")*AND(D38="Transport"),I38,0)</f>
        <v>0</v>
      </c>
      <c r="BB38" s="416">
        <f>IF((O38="A faire")*AND(D38="Communal"),I38,0)</f>
        <v>0</v>
      </c>
      <c r="BC38" s="665"/>
      <c r="BD38" s="416">
        <f>IF((O38="A faire")*AND(D38="Territoire"),J38,0)</f>
        <v>0</v>
      </c>
      <c r="BE38" s="416">
        <f>IF((O38="A faire")*AND(D38="Agriculture"),J38,0)</f>
        <v>0</v>
      </c>
      <c r="BF38" s="416">
        <f>IF((O38="A faire")*AND(D38="Industrie"),J38,0)</f>
        <v>0</v>
      </c>
      <c r="BG38" s="416">
        <f>IF((O38="A faire")*AND(D38="Logement"),J38,0)</f>
        <v>0</v>
      </c>
      <c r="BH38" s="416">
        <f>IF((O38="A faire")*AND(D38="Tertiaire"),2,0)</f>
        <v>0</v>
      </c>
      <c r="BI38" s="416">
        <f>IF((O38="A faire")*AND(D38="Transport"),J38,0)</f>
        <v>0</v>
      </c>
      <c r="BJ38" s="416">
        <f>IF((O38="A faire")*AND(D38="Communal"),J38,0)</f>
        <v>0</v>
      </c>
      <c r="BK38" s="417"/>
      <c r="BL38" s="416">
        <f>IF((O38="A faire")*AND(D38="Territoire"),K38,0)</f>
        <v>0</v>
      </c>
      <c r="BM38" s="416">
        <f>IF((O38="A faire")*AND(D38="Agriculture"),K38,0)</f>
        <v>0</v>
      </c>
      <c r="BN38" s="416">
        <f>IF((O38="A faire")*AND(D38="Industrie"),K38,0)</f>
        <v>0</v>
      </c>
      <c r="BO38" s="416">
        <f>IF((O38="A faire")*AND(D38="Logement"),K38,0)</f>
        <v>0</v>
      </c>
      <c r="BP38" s="416">
        <f>IF((O38="A faire")*AND(D38="Tertiaire"),K38,0)</f>
        <v>0</v>
      </c>
      <c r="BQ38" s="416">
        <f>IF((O38="A faire")*AND(D38="Transport"),K38,0)</f>
        <v>0</v>
      </c>
      <c r="BR38" s="416">
        <f>IF((O38="A faire")*AND(D38="Communal"),K38,0)</f>
        <v>0</v>
      </c>
    </row>
    <row r="39" spans="1:70" s="244" customFormat="1" x14ac:dyDescent="0.25">
      <c r="A39" s="775" t="s">
        <v>409</v>
      </c>
      <c r="B39" s="265" t="str">
        <f>'ADU-10'!$B$7</f>
        <v>Eclairage public</v>
      </c>
      <c r="C39" s="265" t="str">
        <f>'ADU-10'!$B$8</f>
        <v>Application du plan EPURE</v>
      </c>
      <c r="D39" s="265" t="str">
        <f>'ADU-10'!$C$4</f>
        <v>Communal</v>
      </c>
      <c r="E39" s="265" t="str">
        <f>'ADU-10'!$B$11</f>
        <v>AC HABAY</v>
      </c>
      <c r="F39" s="265" t="str">
        <f>'ADU-10'!$B$5</f>
        <v>Fonds propres</v>
      </c>
      <c r="G39" s="266">
        <f>'ADU-10'!$B$16</f>
        <v>50000</v>
      </c>
      <c r="H39" s="265" t="str">
        <f>'ADU-10'!$B$6</f>
        <v>Subs RW</v>
      </c>
      <c r="I39" s="266">
        <f>'ADU-10'!$B$17</f>
        <v>0</v>
      </c>
      <c r="J39" s="266">
        <f>'ADU-10'!$B$20</f>
        <v>14535</v>
      </c>
      <c r="K39" s="266">
        <f>'ADU-10'!$B$21</f>
        <v>0</v>
      </c>
      <c r="L39" s="267">
        <f>'ADU-10'!$B$23</f>
        <v>3.4399724802201583</v>
      </c>
      <c r="M39" s="403">
        <f>'ADU-10'!$B$18/1000</f>
        <v>161.5</v>
      </c>
      <c r="N39" s="268"/>
      <c r="O39" s="269" t="str">
        <f>'ADU-10'!$E$5</f>
        <v>En cours</v>
      </c>
      <c r="P39" s="270">
        <f>'ADU-10'!$B$23</f>
        <v>3.4399724802201583</v>
      </c>
      <c r="Q39" s="416">
        <f t="shared" ref="Q39:Q40" si="185">IF(O39="Terminé",M39,0)</f>
        <v>0</v>
      </c>
      <c r="R39" s="247">
        <f t="shared" si="41"/>
        <v>0</v>
      </c>
      <c r="S39" s="247">
        <f t="shared" si="42"/>
        <v>0</v>
      </c>
      <c r="T39" s="247">
        <f t="shared" si="43"/>
        <v>0</v>
      </c>
      <c r="U39" s="247">
        <f t="shared" si="44"/>
        <v>0</v>
      </c>
      <c r="V39" s="247">
        <f t="shared" si="45"/>
        <v>0</v>
      </c>
      <c r="W39" s="247">
        <f t="shared" si="46"/>
        <v>0</v>
      </c>
      <c r="X39" s="247">
        <f t="shared" si="47"/>
        <v>0</v>
      </c>
      <c r="Z39" s="416">
        <f t="shared" ref="Z39:Z40" si="186">IF((O39="A faire")*AND(E39="Agriculture"),G39,0)</f>
        <v>0</v>
      </c>
      <c r="AA39" s="416">
        <f t="shared" ref="AA39:AA40" si="187">IF((O39="A faire")*AND(E39="Industrie"),G39,0)</f>
        <v>0</v>
      </c>
      <c r="AB39" s="416">
        <f t="shared" ref="AB39:AB40" si="188">IF((O39="A faire")*AND(E39="Citoyen"),G39,0)</f>
        <v>0</v>
      </c>
      <c r="AC39" s="416">
        <f t="shared" ref="AC39:AC40" si="189">IF((O39="A faire")*AND(E39="IDELUX"),G39,0)</f>
        <v>0</v>
      </c>
      <c r="AD39" s="416">
        <f t="shared" si="5"/>
        <v>0</v>
      </c>
      <c r="AE39" s="416">
        <f t="shared" ref="AE39:AE40" si="190">IF((O39="A faire")*AND(E39="Tertiaire"),G39,0)</f>
        <v>0</v>
      </c>
      <c r="AF39" s="417"/>
      <c r="AG39" s="416">
        <f t="shared" ref="AG39:AG40" si="191">IF((O39="A faire")*AND(E39="Agriculture"),I39,0)</f>
        <v>0</v>
      </c>
      <c r="AH39" s="416">
        <f t="shared" ref="AH39:AH40" si="192">IF((O39="A faire")*AND(E39="Industrie"),I39,0)</f>
        <v>0</v>
      </c>
      <c r="AI39" s="416">
        <f t="shared" ref="AI39:AI40" si="193">IF((O39="A faire")*AND(E39="Citoyen"),I39,0)</f>
        <v>0</v>
      </c>
      <c r="AJ39" s="416">
        <f t="shared" ref="AJ39:AJ40" si="194">IF((O39="A faire")*AND(E39="IDELUX"),I39,0)</f>
        <v>0</v>
      </c>
      <c r="AK39" s="416">
        <f t="shared" si="11"/>
        <v>0</v>
      </c>
      <c r="AL39" s="416">
        <f t="shared" ref="AL39:AL40" si="195">IF((O39="A faire")*AND(E39="Tertiaire"),I39,0)</f>
        <v>0</v>
      </c>
      <c r="AM39" s="665"/>
      <c r="AN39" s="416">
        <f t="shared" ref="AN39:AN40" si="196">IF((O39="A faire")*AND(D39="Territoire"),G39,0)</f>
        <v>0</v>
      </c>
      <c r="AO39" s="416">
        <f t="shared" ref="AO39:AO40" si="197">IF((O39="A faire")*AND(D39="Agriculture"),G39,0)</f>
        <v>0</v>
      </c>
      <c r="AP39" s="416">
        <f t="shared" ref="AP39:AP40" si="198">IF((O39="A faire")*AND(D39="Industrie"),G39,0)</f>
        <v>0</v>
      </c>
      <c r="AQ39" s="416">
        <f t="shared" ref="AQ39:AQ40" si="199">IF((O39="A faire")*AND(D39="Logement"),G39,0)</f>
        <v>0</v>
      </c>
      <c r="AR39" s="416">
        <f t="shared" ref="AR39:AR40" si="200">IF((O39="A faire")*AND(D39="Tertiaire"),G39,0)</f>
        <v>0</v>
      </c>
      <c r="AS39" s="416">
        <f t="shared" ref="AS39:AS40" si="201">IF((O39="A faire")*AND(D39="Transport"),G39,0)</f>
        <v>0</v>
      </c>
      <c r="AT39" s="416">
        <f t="shared" ref="AT39:AT40" si="202">IF((O39="A faire")*AND(D39="Communal"),G39,0)</f>
        <v>0</v>
      </c>
      <c r="AU39" s="417"/>
      <c r="AV39" s="416">
        <f t="shared" ref="AV39:AV40" si="203">IF((O39="A faire")*AND(D39="Territoire"),I39,0)</f>
        <v>0</v>
      </c>
      <c r="AW39" s="416">
        <f t="shared" ref="AW39:AW40" si="204">IF((O39="A faire")*AND(D39="Agriculture"),I39,0)</f>
        <v>0</v>
      </c>
      <c r="AX39" s="416">
        <f t="shared" ref="AX39:AX40" si="205">IF((O39="A faire")*AND(D39="Industrie"),I39,0)</f>
        <v>0</v>
      </c>
      <c r="AY39" s="416">
        <f t="shared" ref="AY39:AY40" si="206">IF((O39="A faire")*AND(D39="Logement"),I39,0)</f>
        <v>0</v>
      </c>
      <c r="AZ39" s="416">
        <f t="shared" ref="AZ39:AZ40" si="207">IF((O39="A faire")*AND(D39="Tertiaire"),I39,0)</f>
        <v>0</v>
      </c>
      <c r="BA39" s="416">
        <f t="shared" ref="BA39:BA40" si="208">IF((O39="A faire")*AND(D39="Transport"),I39,0)</f>
        <v>0</v>
      </c>
      <c r="BB39" s="416">
        <f t="shared" ref="BB39:BB40" si="209">IF((O39="A faire")*AND(D39="Communal"),I39,0)</f>
        <v>0</v>
      </c>
      <c r="BC39" s="665"/>
      <c r="BD39" s="416">
        <f t="shared" ref="BD39:BD40" si="210">IF((O39="A faire")*AND(D39="Territoire"),J39,0)</f>
        <v>0</v>
      </c>
      <c r="BE39" s="416">
        <f t="shared" ref="BE39:BE40" si="211">IF((O39="A faire")*AND(D39="Agriculture"),J39,0)</f>
        <v>0</v>
      </c>
      <c r="BF39" s="416">
        <f t="shared" ref="BF39:BF40" si="212">IF((O39="A faire")*AND(D39="Industrie"),J39,0)</f>
        <v>0</v>
      </c>
      <c r="BG39" s="416">
        <f t="shared" ref="BG39:BG40" si="213">IF((O39="A faire")*AND(D39="Logement"),J39,0)</f>
        <v>0</v>
      </c>
      <c r="BH39" s="416">
        <f t="shared" ref="BH39:BH40" si="214">IF((O39="A faire")*AND(D39="Tertiaire"),2,0)</f>
        <v>0</v>
      </c>
      <c r="BI39" s="416">
        <f t="shared" ref="BI39:BI40" si="215">IF((O39="A faire")*AND(D39="Transport"),J39,0)</f>
        <v>0</v>
      </c>
      <c r="BJ39" s="416">
        <f t="shared" ref="BJ39:BJ40" si="216">IF((O39="A faire")*AND(D39="Communal"),J39,0)</f>
        <v>0</v>
      </c>
      <c r="BK39" s="417"/>
      <c r="BL39" s="416">
        <f t="shared" ref="BL39:BL40" si="217">IF((O39="A faire")*AND(D39="Territoire"),K39,0)</f>
        <v>0</v>
      </c>
      <c r="BM39" s="416">
        <f t="shared" ref="BM39:BM40" si="218">IF((O39="A faire")*AND(D39="Agriculture"),K39,0)</f>
        <v>0</v>
      </c>
      <c r="BN39" s="416">
        <f t="shared" ref="BN39:BN40" si="219">IF((O39="A faire")*AND(D39="Industrie"),K39,0)</f>
        <v>0</v>
      </c>
      <c r="BO39" s="416">
        <f t="shared" ref="BO39:BO40" si="220">IF((O39="A faire")*AND(D39="Logement"),K39,0)</f>
        <v>0</v>
      </c>
      <c r="BP39" s="416">
        <f t="shared" ref="BP39:BP40" si="221">IF((O39="A faire")*AND(D39="Tertiaire"),K39,0)</f>
        <v>0</v>
      </c>
      <c r="BQ39" s="416">
        <f t="shared" ref="BQ39:BQ40" si="222">IF((O39="A faire")*AND(D39="Transport"),K39,0)</f>
        <v>0</v>
      </c>
      <c r="BR39" s="416">
        <f t="shared" ref="BR39:BR40" si="223">IF((O39="A faire")*AND(D39="Communal"),K39,0)</f>
        <v>0</v>
      </c>
    </row>
    <row r="40" spans="1:70" s="477" customFormat="1" x14ac:dyDescent="0.25">
      <c r="A40" s="769" t="s">
        <v>406</v>
      </c>
      <c r="B40" s="468" t="str">
        <f>'ADU-110'!$B$7</f>
        <v>Logement privé</v>
      </c>
      <c r="C40" s="468" t="str">
        <f>'ADU-110'!$B$8</f>
        <v>Rénovation - isolation de logements privés - Planchers</v>
      </c>
      <c r="D40" s="468" t="str">
        <f>'ADU-110'!$C$4</f>
        <v>Logement</v>
      </c>
      <c r="E40" s="560" t="str">
        <f>'ADU-110'!$B$11</f>
        <v>Citoyen</v>
      </c>
      <c r="F40" s="468" t="str">
        <f>'ADU-110'!$B$5</f>
        <v>ECOPACK</v>
      </c>
      <c r="G40" s="469">
        <f>'ADU-110'!$B$16</f>
        <v>450000</v>
      </c>
      <c r="H40" s="468" t="str">
        <f>'ADU-110'!$B$6</f>
        <v>Prime RW</v>
      </c>
      <c r="I40" s="469">
        <f>'ADU-110'!$B$17</f>
        <v>48000</v>
      </c>
      <c r="J40" s="469">
        <f>'ADU-110'!$B$20</f>
        <v>10818.505169867061</v>
      </c>
      <c r="K40" s="469">
        <f>'ADU-110'!$B$21</f>
        <v>0</v>
      </c>
      <c r="L40" s="470">
        <f>'ADU-110'!$B$23</f>
        <v>37.158553209337683</v>
      </c>
      <c r="M40" s="479">
        <f>'ADU-110'!$B$18/1000</f>
        <v>154.55007385524374</v>
      </c>
      <c r="N40" s="472"/>
      <c r="O40" s="473" t="str">
        <f>'ADU-110'!$E$5</f>
        <v>En cours</v>
      </c>
      <c r="P40" s="474">
        <f>'ADU-110'!$B$23</f>
        <v>37.158553209337683</v>
      </c>
      <c r="Q40" s="475">
        <f t="shared" si="185"/>
        <v>0</v>
      </c>
      <c r="R40" s="475">
        <f>IF(O40="Terminé",M40,0)</f>
        <v>0</v>
      </c>
      <c r="S40" s="475">
        <f>IF(D40="Agriculture",R40,0)</f>
        <v>0</v>
      </c>
      <c r="T40" s="475">
        <f>IF(D40="Industrie", R40,0)</f>
        <v>0</v>
      </c>
      <c r="U40" s="475">
        <f>IF(D40="Logement", R40,0)</f>
        <v>0</v>
      </c>
      <c r="V40" s="475">
        <f>IF(D40="Tertiaire",R40,0)</f>
        <v>0</v>
      </c>
      <c r="W40" s="475">
        <f>IF(D40="Transport",R40,0)</f>
        <v>0</v>
      </c>
      <c r="X40" s="475">
        <f>IF(D40="Communal",R40,0)</f>
        <v>0</v>
      </c>
      <c r="Z40" s="416">
        <f t="shared" si="186"/>
        <v>0</v>
      </c>
      <c r="AA40" s="416">
        <f t="shared" si="187"/>
        <v>0</v>
      </c>
      <c r="AB40" s="416">
        <f t="shared" si="188"/>
        <v>0</v>
      </c>
      <c r="AC40" s="416">
        <f t="shared" si="189"/>
        <v>0</v>
      </c>
      <c r="AD40" s="416">
        <f t="shared" si="5"/>
        <v>0</v>
      </c>
      <c r="AE40" s="416">
        <f t="shared" si="190"/>
        <v>0</v>
      </c>
      <c r="AF40" s="417"/>
      <c r="AG40" s="416">
        <f t="shared" si="191"/>
        <v>0</v>
      </c>
      <c r="AH40" s="416">
        <f t="shared" si="192"/>
        <v>0</v>
      </c>
      <c r="AI40" s="416">
        <f t="shared" si="193"/>
        <v>0</v>
      </c>
      <c r="AJ40" s="416">
        <f t="shared" si="194"/>
        <v>0</v>
      </c>
      <c r="AK40" s="416">
        <f t="shared" si="11"/>
        <v>0</v>
      </c>
      <c r="AL40" s="416">
        <f t="shared" si="195"/>
        <v>0</v>
      </c>
      <c r="AM40" s="665"/>
      <c r="AN40" s="416">
        <f t="shared" si="196"/>
        <v>0</v>
      </c>
      <c r="AO40" s="416">
        <f t="shared" si="197"/>
        <v>0</v>
      </c>
      <c r="AP40" s="416">
        <f t="shared" si="198"/>
        <v>0</v>
      </c>
      <c r="AQ40" s="416">
        <f t="shared" si="199"/>
        <v>0</v>
      </c>
      <c r="AR40" s="416">
        <f t="shared" si="200"/>
        <v>0</v>
      </c>
      <c r="AS40" s="416">
        <f t="shared" si="201"/>
        <v>0</v>
      </c>
      <c r="AT40" s="416">
        <f t="shared" si="202"/>
        <v>0</v>
      </c>
      <c r="AU40" s="417"/>
      <c r="AV40" s="416">
        <f t="shared" si="203"/>
        <v>0</v>
      </c>
      <c r="AW40" s="416">
        <f t="shared" si="204"/>
        <v>0</v>
      </c>
      <c r="AX40" s="416">
        <f t="shared" si="205"/>
        <v>0</v>
      </c>
      <c r="AY40" s="416">
        <f t="shared" si="206"/>
        <v>0</v>
      </c>
      <c r="AZ40" s="416">
        <f t="shared" si="207"/>
        <v>0</v>
      </c>
      <c r="BA40" s="416">
        <f t="shared" si="208"/>
        <v>0</v>
      </c>
      <c r="BB40" s="416">
        <f t="shared" si="209"/>
        <v>0</v>
      </c>
      <c r="BC40" s="665"/>
      <c r="BD40" s="416">
        <f t="shared" si="210"/>
        <v>0</v>
      </c>
      <c r="BE40" s="416">
        <f t="shared" si="211"/>
        <v>0</v>
      </c>
      <c r="BF40" s="416">
        <f t="shared" si="212"/>
        <v>0</v>
      </c>
      <c r="BG40" s="416">
        <f t="shared" si="213"/>
        <v>0</v>
      </c>
      <c r="BH40" s="416">
        <f t="shared" si="214"/>
        <v>0</v>
      </c>
      <c r="BI40" s="416">
        <f t="shared" si="215"/>
        <v>0</v>
      </c>
      <c r="BJ40" s="416">
        <f t="shared" si="216"/>
        <v>0</v>
      </c>
      <c r="BK40" s="417"/>
      <c r="BL40" s="416">
        <f t="shared" si="217"/>
        <v>0</v>
      </c>
      <c r="BM40" s="416">
        <f t="shared" si="218"/>
        <v>0</v>
      </c>
      <c r="BN40" s="416">
        <f t="shared" si="219"/>
        <v>0</v>
      </c>
      <c r="BO40" s="416">
        <f t="shared" si="220"/>
        <v>0</v>
      </c>
      <c r="BP40" s="416">
        <f t="shared" si="221"/>
        <v>0</v>
      </c>
      <c r="BQ40" s="416">
        <f t="shared" si="222"/>
        <v>0</v>
      </c>
      <c r="BR40" s="416">
        <f t="shared" si="223"/>
        <v>0</v>
      </c>
    </row>
    <row r="41" spans="1:70" s="477" customFormat="1" x14ac:dyDescent="0.25">
      <c r="A41" s="769" t="s">
        <v>210</v>
      </c>
      <c r="B41" s="468" t="str">
        <f>'ADU-111'!$B$7</f>
        <v>Logement privé</v>
      </c>
      <c r="C41" s="468" t="str">
        <f>'ADU-111'!$B$8</f>
        <v>Rénovation - isolation de logements privés - Toitures</v>
      </c>
      <c r="D41" s="468" t="str">
        <f>'ADU-111'!$C$4</f>
        <v>Logement</v>
      </c>
      <c r="E41" s="468" t="str">
        <f>'ADU-111'!$B$11</f>
        <v>Citoyen</v>
      </c>
      <c r="F41" s="468" t="str">
        <f>'ADU-111'!$B$5</f>
        <v>ECOPACK</v>
      </c>
      <c r="G41" s="469">
        <f>'ADU-111'!$B$16</f>
        <v>1100000</v>
      </c>
      <c r="H41" s="468" t="str">
        <f>'ADU-111'!$B$6</f>
        <v>Prime RW</v>
      </c>
      <c r="I41" s="469">
        <f>'ADU-111'!$B$17</f>
        <v>110000</v>
      </c>
      <c r="J41" s="469">
        <f>'ADU-111'!$B$20</f>
        <v>67315.143279172815</v>
      </c>
      <c r="K41" s="469">
        <f>'ADU-111'!$B$21</f>
        <v>0</v>
      </c>
      <c r="L41" s="470">
        <f>'ADU-111'!$B$23</f>
        <v>14.706943367768249</v>
      </c>
      <c r="M41" s="479">
        <f>'ADU-111'!$B$18/1000</f>
        <v>961.64490398818327</v>
      </c>
      <c r="N41" s="472"/>
      <c r="O41" s="473" t="str">
        <f>'ADU-111'!$E$5</f>
        <v>En cours</v>
      </c>
      <c r="P41" s="474">
        <f>'ADU-111'!$B$15</f>
        <v>2020</v>
      </c>
      <c r="Q41" s="475">
        <f t="shared" si="0"/>
        <v>0</v>
      </c>
      <c r="R41" s="475">
        <f t="shared" si="41"/>
        <v>0</v>
      </c>
      <c r="S41" s="475">
        <f t="shared" si="42"/>
        <v>0</v>
      </c>
      <c r="T41" s="475">
        <f t="shared" si="43"/>
        <v>0</v>
      </c>
      <c r="U41" s="475">
        <f t="shared" si="44"/>
        <v>0</v>
      </c>
      <c r="V41" s="475">
        <f t="shared" si="45"/>
        <v>0</v>
      </c>
      <c r="W41" s="475">
        <f t="shared" si="46"/>
        <v>0</v>
      </c>
      <c r="X41" s="475">
        <f t="shared" si="47"/>
        <v>0</v>
      </c>
      <c r="Z41" s="416">
        <f t="shared" si="1"/>
        <v>0</v>
      </c>
      <c r="AA41" s="416">
        <f t="shared" si="2"/>
        <v>0</v>
      </c>
      <c r="AB41" s="416">
        <f t="shared" si="3"/>
        <v>0</v>
      </c>
      <c r="AC41" s="416">
        <f t="shared" si="4"/>
        <v>0</v>
      </c>
      <c r="AD41" s="416">
        <f t="shared" si="5"/>
        <v>0</v>
      </c>
      <c r="AE41" s="416">
        <f t="shared" si="6"/>
        <v>0</v>
      </c>
      <c r="AF41" s="417"/>
      <c r="AG41" s="416">
        <f t="shared" si="7"/>
        <v>0</v>
      </c>
      <c r="AH41" s="416">
        <f t="shared" si="8"/>
        <v>0</v>
      </c>
      <c r="AI41" s="416">
        <f t="shared" si="9"/>
        <v>0</v>
      </c>
      <c r="AJ41" s="416">
        <f t="shared" si="10"/>
        <v>0</v>
      </c>
      <c r="AK41" s="416">
        <f t="shared" si="11"/>
        <v>0</v>
      </c>
      <c r="AL41" s="416">
        <f t="shared" si="12"/>
        <v>0</v>
      </c>
      <c r="AM41" s="244"/>
      <c r="AN41" s="416">
        <f t="shared" si="13"/>
        <v>0</v>
      </c>
      <c r="AO41" s="416">
        <f t="shared" si="14"/>
        <v>0</v>
      </c>
      <c r="AP41" s="416">
        <f t="shared" si="15"/>
        <v>0</v>
      </c>
      <c r="AQ41" s="416">
        <f t="shared" si="16"/>
        <v>0</v>
      </c>
      <c r="AR41" s="416">
        <f t="shared" si="17"/>
        <v>0</v>
      </c>
      <c r="AS41" s="416">
        <f t="shared" si="18"/>
        <v>0</v>
      </c>
      <c r="AT41" s="416">
        <f t="shared" si="19"/>
        <v>0</v>
      </c>
      <c r="AU41" s="417"/>
      <c r="AV41" s="416">
        <f t="shared" si="20"/>
        <v>0</v>
      </c>
      <c r="AW41" s="416">
        <f t="shared" si="21"/>
        <v>0</v>
      </c>
      <c r="AX41" s="416">
        <f t="shared" si="22"/>
        <v>0</v>
      </c>
      <c r="AY41" s="416">
        <f t="shared" si="23"/>
        <v>0</v>
      </c>
      <c r="AZ41" s="416">
        <f t="shared" si="24"/>
        <v>0</v>
      </c>
      <c r="BA41" s="416">
        <f t="shared" si="25"/>
        <v>0</v>
      </c>
      <c r="BB41" s="416">
        <f t="shared" si="26"/>
        <v>0</v>
      </c>
      <c r="BC41" s="244"/>
      <c r="BD41" s="416">
        <f t="shared" si="27"/>
        <v>0</v>
      </c>
      <c r="BE41" s="416">
        <f t="shared" si="28"/>
        <v>0</v>
      </c>
      <c r="BF41" s="416">
        <f t="shared" si="29"/>
        <v>0</v>
      </c>
      <c r="BG41" s="416">
        <f t="shared" si="30"/>
        <v>0</v>
      </c>
      <c r="BH41" s="416">
        <f t="shared" si="31"/>
        <v>0</v>
      </c>
      <c r="BI41" s="416">
        <f t="shared" si="32"/>
        <v>0</v>
      </c>
      <c r="BJ41" s="416">
        <f t="shared" si="33"/>
        <v>0</v>
      </c>
      <c r="BK41" s="417"/>
      <c r="BL41" s="416">
        <f t="shared" si="34"/>
        <v>0</v>
      </c>
      <c r="BM41" s="416">
        <f t="shared" si="35"/>
        <v>0</v>
      </c>
      <c r="BN41" s="416">
        <f t="shared" si="36"/>
        <v>0</v>
      </c>
      <c r="BO41" s="416">
        <f t="shared" si="37"/>
        <v>0</v>
      </c>
      <c r="BP41" s="416">
        <f t="shared" si="38"/>
        <v>0</v>
      </c>
      <c r="BQ41" s="416">
        <f t="shared" si="39"/>
        <v>0</v>
      </c>
      <c r="BR41" s="416">
        <f t="shared" si="40"/>
        <v>0</v>
      </c>
    </row>
    <row r="42" spans="1:70" s="477" customFormat="1" x14ac:dyDescent="0.25">
      <c r="A42" s="769" t="s">
        <v>211</v>
      </c>
      <c r="B42" s="468" t="str">
        <f>'ADU-112'!$B$7</f>
        <v>Logement privé</v>
      </c>
      <c r="C42" s="468" t="str">
        <f>'ADU-112'!$B$8</f>
        <v>Rénovation - isolation de logements privés - Murs extérieurs</v>
      </c>
      <c r="D42" s="468" t="str">
        <f>'ADU-112'!$C$4</f>
        <v>Logement</v>
      </c>
      <c r="E42" s="468" t="str">
        <f>'ADU-112'!$B$11</f>
        <v>Citoyen</v>
      </c>
      <c r="F42" s="468" t="str">
        <f>'ADU-112'!$B$5</f>
        <v>ECOPACK</v>
      </c>
      <c r="G42" s="469">
        <f>'ADU-112'!$B$16</f>
        <v>1400000</v>
      </c>
      <c r="H42" s="468" t="str">
        <f>'ADU-112'!$B$6</f>
        <v>Prime RW</v>
      </c>
      <c r="I42" s="469">
        <f>'ADU-112'!$B$17</f>
        <v>126000</v>
      </c>
      <c r="J42" s="469">
        <f>'ADU-112'!$B$20</f>
        <v>36920.295420974886</v>
      </c>
      <c r="K42" s="469">
        <f>'ADU-112'!$B$21</f>
        <v>0</v>
      </c>
      <c r="L42" s="470">
        <f>'ADU-112'!$B$23</f>
        <v>34.506766142402654</v>
      </c>
      <c r="M42" s="479">
        <f>'ADU-112'!$B$18/1000</f>
        <v>429.30576070901037</v>
      </c>
      <c r="N42" s="472"/>
      <c r="O42" s="473" t="str">
        <f>'ADU-112'!$E$5</f>
        <v>En cours</v>
      </c>
      <c r="P42" s="474">
        <f>'ADU-112'!$B$15</f>
        <v>2020</v>
      </c>
      <c r="Q42" s="475">
        <f t="shared" si="0"/>
        <v>0</v>
      </c>
      <c r="R42" s="475">
        <f t="shared" si="41"/>
        <v>0</v>
      </c>
      <c r="S42" s="475">
        <f t="shared" si="42"/>
        <v>0</v>
      </c>
      <c r="T42" s="475">
        <f t="shared" si="43"/>
        <v>0</v>
      </c>
      <c r="U42" s="475">
        <f t="shared" si="44"/>
        <v>0</v>
      </c>
      <c r="V42" s="475">
        <f t="shared" si="45"/>
        <v>0</v>
      </c>
      <c r="W42" s="475">
        <f t="shared" si="46"/>
        <v>0</v>
      </c>
      <c r="X42" s="475">
        <f t="shared" si="47"/>
        <v>0</v>
      </c>
      <c r="Z42" s="416">
        <f t="shared" si="1"/>
        <v>0</v>
      </c>
      <c r="AA42" s="416">
        <f t="shared" si="2"/>
        <v>0</v>
      </c>
      <c r="AB42" s="416">
        <f t="shared" si="3"/>
        <v>0</v>
      </c>
      <c r="AC42" s="416">
        <f t="shared" si="4"/>
        <v>0</v>
      </c>
      <c r="AD42" s="416">
        <f t="shared" si="5"/>
        <v>0</v>
      </c>
      <c r="AE42" s="416">
        <f t="shared" si="6"/>
        <v>0</v>
      </c>
      <c r="AF42" s="417"/>
      <c r="AG42" s="416">
        <f t="shared" si="7"/>
        <v>0</v>
      </c>
      <c r="AH42" s="416">
        <f t="shared" si="8"/>
        <v>0</v>
      </c>
      <c r="AI42" s="416">
        <f t="shared" si="9"/>
        <v>0</v>
      </c>
      <c r="AJ42" s="416">
        <f t="shared" si="10"/>
        <v>0</v>
      </c>
      <c r="AK42" s="416">
        <f t="shared" si="11"/>
        <v>0</v>
      </c>
      <c r="AL42" s="416">
        <f t="shared" si="12"/>
        <v>0</v>
      </c>
      <c r="AM42" s="244"/>
      <c r="AN42" s="416">
        <f t="shared" si="13"/>
        <v>0</v>
      </c>
      <c r="AO42" s="416">
        <f t="shared" si="14"/>
        <v>0</v>
      </c>
      <c r="AP42" s="416">
        <f t="shared" si="15"/>
        <v>0</v>
      </c>
      <c r="AQ42" s="416">
        <f t="shared" si="16"/>
        <v>0</v>
      </c>
      <c r="AR42" s="416">
        <f t="shared" si="17"/>
        <v>0</v>
      </c>
      <c r="AS42" s="416">
        <f t="shared" si="18"/>
        <v>0</v>
      </c>
      <c r="AT42" s="416">
        <f t="shared" si="19"/>
        <v>0</v>
      </c>
      <c r="AU42" s="417"/>
      <c r="AV42" s="416">
        <f t="shared" si="20"/>
        <v>0</v>
      </c>
      <c r="AW42" s="416">
        <f t="shared" si="21"/>
        <v>0</v>
      </c>
      <c r="AX42" s="416">
        <f t="shared" si="22"/>
        <v>0</v>
      </c>
      <c r="AY42" s="416">
        <f t="shared" si="23"/>
        <v>0</v>
      </c>
      <c r="AZ42" s="416">
        <f t="shared" si="24"/>
        <v>0</v>
      </c>
      <c r="BA42" s="416">
        <f t="shared" si="25"/>
        <v>0</v>
      </c>
      <c r="BB42" s="416">
        <f t="shared" si="26"/>
        <v>0</v>
      </c>
      <c r="BC42" s="244"/>
      <c r="BD42" s="416">
        <f t="shared" si="27"/>
        <v>0</v>
      </c>
      <c r="BE42" s="416">
        <f t="shared" si="28"/>
        <v>0</v>
      </c>
      <c r="BF42" s="416">
        <f t="shared" si="29"/>
        <v>0</v>
      </c>
      <c r="BG42" s="416">
        <f t="shared" si="30"/>
        <v>0</v>
      </c>
      <c r="BH42" s="416">
        <f t="shared" si="31"/>
        <v>0</v>
      </c>
      <c r="BI42" s="416">
        <f t="shared" si="32"/>
        <v>0</v>
      </c>
      <c r="BJ42" s="416">
        <f t="shared" si="33"/>
        <v>0</v>
      </c>
      <c r="BK42" s="417"/>
      <c r="BL42" s="416">
        <f t="shared" si="34"/>
        <v>0</v>
      </c>
      <c r="BM42" s="416">
        <f t="shared" si="35"/>
        <v>0</v>
      </c>
      <c r="BN42" s="416">
        <f t="shared" si="36"/>
        <v>0</v>
      </c>
      <c r="BO42" s="416">
        <f t="shared" si="37"/>
        <v>0</v>
      </c>
      <c r="BP42" s="416">
        <f t="shared" si="38"/>
        <v>0</v>
      </c>
      <c r="BQ42" s="416">
        <f t="shared" si="39"/>
        <v>0</v>
      </c>
      <c r="BR42" s="416">
        <f t="shared" si="40"/>
        <v>0</v>
      </c>
    </row>
    <row r="43" spans="1:70" s="477" customFormat="1" x14ac:dyDescent="0.25">
      <c r="A43" s="769" t="s">
        <v>196</v>
      </c>
      <c r="B43" s="468" t="str">
        <f>'ADU-113'!$B$7</f>
        <v>Logement privé</v>
      </c>
      <c r="C43" s="468" t="str">
        <f>'ADU-113'!$B$8</f>
        <v>Rénovation - isolation de logements privés - vitrages</v>
      </c>
      <c r="D43" s="468" t="str">
        <f>'ADU-113'!$C$4</f>
        <v>Logement</v>
      </c>
      <c r="E43" s="468" t="str">
        <f>'ADU-113'!$B$11</f>
        <v>Citoyen</v>
      </c>
      <c r="F43" s="468" t="str">
        <f>'ADU-113'!$B$5</f>
        <v>ECOPACK</v>
      </c>
      <c r="G43" s="469">
        <f>'ADU-113'!$B$16</f>
        <v>324000</v>
      </c>
      <c r="H43" s="468" t="str">
        <f>'ADU-113'!$B$6</f>
        <v>Prime RW</v>
      </c>
      <c r="I43" s="469">
        <f>'ADU-113'!$B$17</f>
        <v>10800</v>
      </c>
      <c r="J43" s="469">
        <f>'ADU-113'!$B$20</f>
        <v>8860.8709010339753</v>
      </c>
      <c r="K43" s="469">
        <f>'ADU-113'!$B$21</f>
        <v>0</v>
      </c>
      <c r="L43" s="470">
        <f>'ADU-113'!$B$23</f>
        <v>35.346412728285287</v>
      </c>
      <c r="M43" s="479">
        <f>'ADU-113'!$B$18/1000</f>
        <v>103.0333825701625</v>
      </c>
      <c r="N43" s="472"/>
      <c r="O43" s="473" t="str">
        <f>'ADU-113'!$E$5</f>
        <v>En cours</v>
      </c>
      <c r="P43" s="474">
        <f>'ADU-113'!$B$15</f>
        <v>2020</v>
      </c>
      <c r="Q43" s="475">
        <f t="shared" si="0"/>
        <v>0</v>
      </c>
      <c r="R43" s="475">
        <f t="shared" si="41"/>
        <v>0</v>
      </c>
      <c r="S43" s="475">
        <f t="shared" si="42"/>
        <v>0</v>
      </c>
      <c r="T43" s="475">
        <f t="shared" si="43"/>
        <v>0</v>
      </c>
      <c r="U43" s="475">
        <f t="shared" si="44"/>
        <v>0</v>
      </c>
      <c r="V43" s="475">
        <f t="shared" si="45"/>
        <v>0</v>
      </c>
      <c r="W43" s="475">
        <f t="shared" si="46"/>
        <v>0</v>
      </c>
      <c r="X43" s="475">
        <f t="shared" si="47"/>
        <v>0</v>
      </c>
      <c r="Z43" s="416">
        <f t="shared" si="1"/>
        <v>0</v>
      </c>
      <c r="AA43" s="416">
        <f t="shared" si="2"/>
        <v>0</v>
      </c>
      <c r="AB43" s="416">
        <f t="shared" si="3"/>
        <v>0</v>
      </c>
      <c r="AC43" s="416">
        <f t="shared" si="4"/>
        <v>0</v>
      </c>
      <c r="AD43" s="416">
        <f t="shared" si="5"/>
        <v>0</v>
      </c>
      <c r="AE43" s="416">
        <f t="shared" si="6"/>
        <v>0</v>
      </c>
      <c r="AF43" s="417"/>
      <c r="AG43" s="416">
        <f t="shared" si="7"/>
        <v>0</v>
      </c>
      <c r="AH43" s="416">
        <f t="shared" si="8"/>
        <v>0</v>
      </c>
      <c r="AI43" s="416">
        <f t="shared" si="9"/>
        <v>0</v>
      </c>
      <c r="AJ43" s="416">
        <f t="shared" si="10"/>
        <v>0</v>
      </c>
      <c r="AK43" s="416">
        <f t="shared" si="11"/>
        <v>0</v>
      </c>
      <c r="AL43" s="416">
        <f t="shared" si="12"/>
        <v>0</v>
      </c>
      <c r="AM43" s="244"/>
      <c r="AN43" s="416">
        <f t="shared" si="13"/>
        <v>0</v>
      </c>
      <c r="AO43" s="416">
        <f t="shared" si="14"/>
        <v>0</v>
      </c>
      <c r="AP43" s="416">
        <f t="shared" si="15"/>
        <v>0</v>
      </c>
      <c r="AQ43" s="416">
        <f t="shared" si="16"/>
        <v>0</v>
      </c>
      <c r="AR43" s="416">
        <f t="shared" si="17"/>
        <v>0</v>
      </c>
      <c r="AS43" s="416">
        <f t="shared" si="18"/>
        <v>0</v>
      </c>
      <c r="AT43" s="416">
        <f t="shared" si="19"/>
        <v>0</v>
      </c>
      <c r="AU43" s="417"/>
      <c r="AV43" s="416">
        <f t="shared" si="20"/>
        <v>0</v>
      </c>
      <c r="AW43" s="416">
        <f t="shared" si="21"/>
        <v>0</v>
      </c>
      <c r="AX43" s="416">
        <f t="shared" si="22"/>
        <v>0</v>
      </c>
      <c r="AY43" s="416">
        <f t="shared" si="23"/>
        <v>0</v>
      </c>
      <c r="AZ43" s="416">
        <f t="shared" si="24"/>
        <v>0</v>
      </c>
      <c r="BA43" s="416">
        <f t="shared" si="25"/>
        <v>0</v>
      </c>
      <c r="BB43" s="416">
        <f t="shared" si="26"/>
        <v>0</v>
      </c>
      <c r="BC43" s="244"/>
      <c r="BD43" s="416">
        <f t="shared" si="27"/>
        <v>0</v>
      </c>
      <c r="BE43" s="416">
        <f t="shared" si="28"/>
        <v>0</v>
      </c>
      <c r="BF43" s="416">
        <f t="shared" si="29"/>
        <v>0</v>
      </c>
      <c r="BG43" s="416">
        <f t="shared" si="30"/>
        <v>0</v>
      </c>
      <c r="BH43" s="416">
        <f t="shared" si="31"/>
        <v>0</v>
      </c>
      <c r="BI43" s="416">
        <f t="shared" si="32"/>
        <v>0</v>
      </c>
      <c r="BJ43" s="416">
        <f t="shared" si="33"/>
        <v>0</v>
      </c>
      <c r="BK43" s="417"/>
      <c r="BL43" s="416">
        <f t="shared" si="34"/>
        <v>0</v>
      </c>
      <c r="BM43" s="416">
        <f t="shared" si="35"/>
        <v>0</v>
      </c>
      <c r="BN43" s="416">
        <f t="shared" si="36"/>
        <v>0</v>
      </c>
      <c r="BO43" s="416">
        <f t="shared" si="37"/>
        <v>0</v>
      </c>
      <c r="BP43" s="416">
        <f t="shared" si="38"/>
        <v>0</v>
      </c>
      <c r="BQ43" s="416">
        <f t="shared" si="39"/>
        <v>0</v>
      </c>
      <c r="BR43" s="416">
        <f t="shared" si="40"/>
        <v>0</v>
      </c>
    </row>
    <row r="44" spans="1:70" s="477" customFormat="1" x14ac:dyDescent="0.25">
      <c r="A44" s="676" t="s">
        <v>700</v>
      </c>
      <c r="B44" s="468" t="str">
        <f>'ADU-114'!$B$7</f>
        <v>Logement privé</v>
      </c>
      <c r="C44" s="468" t="str">
        <f>'ADU-114'!$B$8</f>
        <v>Rénovation - isolation complète de logements privés</v>
      </c>
      <c r="D44" s="468" t="str">
        <f>'ADU-114'!$C$4</f>
        <v>Logement</v>
      </c>
      <c r="E44" s="468" t="str">
        <f>'ADU-114'!$B$11</f>
        <v>Citoyen</v>
      </c>
      <c r="F44" s="468" t="str">
        <f>'ADU-114'!$B$5</f>
        <v>ECOPACK</v>
      </c>
      <c r="G44" s="469">
        <f>'ADU-114'!$B$16</f>
        <v>1538500</v>
      </c>
      <c r="H44" s="468" t="str">
        <f>'ADU-114'!$B$6</f>
        <v>Prime RW</v>
      </c>
      <c r="I44" s="469">
        <f>'ADU-114'!$B$17</f>
        <v>271500</v>
      </c>
      <c r="J44" s="469">
        <f>'ADU-114'!$B$20</f>
        <v>51688.413589364849</v>
      </c>
      <c r="K44" s="469">
        <f>'ADU-114'!$B$21</f>
        <v>0</v>
      </c>
      <c r="L44" s="470">
        <f>'ADU-114'!$B$23</f>
        <v>24.512263233025429</v>
      </c>
      <c r="M44" s="479">
        <f>'ADU-114'!$B$18/1000</f>
        <v>601.02806499261453</v>
      </c>
      <c r="N44" s="472"/>
      <c r="O44" s="473" t="str">
        <f>'ADU-114'!$E$5</f>
        <v>En cours</v>
      </c>
      <c r="P44" s="474">
        <f>'ADU-114'!$B$15</f>
        <v>2020</v>
      </c>
      <c r="Q44" s="475">
        <f t="shared" si="0"/>
        <v>0</v>
      </c>
      <c r="R44" s="475">
        <f>IF(O44="Terminé",M44,0)</f>
        <v>0</v>
      </c>
      <c r="S44" s="475">
        <f>IF(D44="Agriculture",R44,0)</f>
        <v>0</v>
      </c>
      <c r="T44" s="475">
        <f>IF(D44="Industrie", R44,0)</f>
        <v>0</v>
      </c>
      <c r="U44" s="475">
        <f>IF(D44="Logement", R44,0)</f>
        <v>0</v>
      </c>
      <c r="V44" s="475">
        <f>IF(D44="Tertiaire",R44,0)</f>
        <v>0</v>
      </c>
      <c r="W44" s="475">
        <f>IF(D44="Transport",R44,0)</f>
        <v>0</v>
      </c>
      <c r="X44" s="475">
        <f>IF(D44="Communal",R44,0)</f>
        <v>0</v>
      </c>
      <c r="Z44" s="416">
        <f t="shared" si="1"/>
        <v>0</v>
      </c>
      <c r="AA44" s="416">
        <f t="shared" si="2"/>
        <v>0</v>
      </c>
      <c r="AB44" s="416">
        <f t="shared" si="3"/>
        <v>0</v>
      </c>
      <c r="AC44" s="416">
        <f t="shared" si="4"/>
        <v>0</v>
      </c>
      <c r="AD44" s="416">
        <f t="shared" si="5"/>
        <v>0</v>
      </c>
      <c r="AE44" s="416">
        <f t="shared" si="6"/>
        <v>0</v>
      </c>
      <c r="AF44" s="417"/>
      <c r="AG44" s="416">
        <f t="shared" si="7"/>
        <v>0</v>
      </c>
      <c r="AH44" s="416">
        <f t="shared" si="8"/>
        <v>0</v>
      </c>
      <c r="AI44" s="416">
        <f t="shared" si="9"/>
        <v>0</v>
      </c>
      <c r="AJ44" s="416">
        <f t="shared" si="10"/>
        <v>0</v>
      </c>
      <c r="AK44" s="416">
        <f t="shared" si="11"/>
        <v>0</v>
      </c>
      <c r="AL44" s="416">
        <f t="shared" si="12"/>
        <v>0</v>
      </c>
      <c r="AM44" s="244"/>
      <c r="AN44" s="416">
        <f t="shared" si="13"/>
        <v>0</v>
      </c>
      <c r="AO44" s="416">
        <f t="shared" si="14"/>
        <v>0</v>
      </c>
      <c r="AP44" s="416">
        <f t="shared" si="15"/>
        <v>0</v>
      </c>
      <c r="AQ44" s="416">
        <f t="shared" si="16"/>
        <v>0</v>
      </c>
      <c r="AR44" s="416">
        <f t="shared" si="17"/>
        <v>0</v>
      </c>
      <c r="AS44" s="416">
        <f t="shared" si="18"/>
        <v>0</v>
      </c>
      <c r="AT44" s="416">
        <f t="shared" si="19"/>
        <v>0</v>
      </c>
      <c r="AU44" s="417"/>
      <c r="AV44" s="416">
        <f t="shared" si="20"/>
        <v>0</v>
      </c>
      <c r="AW44" s="416">
        <f t="shared" si="21"/>
        <v>0</v>
      </c>
      <c r="AX44" s="416">
        <f t="shared" si="22"/>
        <v>0</v>
      </c>
      <c r="AY44" s="416">
        <f t="shared" si="23"/>
        <v>0</v>
      </c>
      <c r="AZ44" s="416">
        <f t="shared" si="24"/>
        <v>0</v>
      </c>
      <c r="BA44" s="416">
        <f t="shared" si="25"/>
        <v>0</v>
      </c>
      <c r="BB44" s="416">
        <f t="shared" si="26"/>
        <v>0</v>
      </c>
      <c r="BC44" s="244"/>
      <c r="BD44" s="416">
        <f t="shared" si="27"/>
        <v>0</v>
      </c>
      <c r="BE44" s="416">
        <f t="shared" si="28"/>
        <v>0</v>
      </c>
      <c r="BF44" s="416">
        <f t="shared" si="29"/>
        <v>0</v>
      </c>
      <c r="BG44" s="416">
        <f t="shared" si="30"/>
        <v>0</v>
      </c>
      <c r="BH44" s="416">
        <f t="shared" si="31"/>
        <v>0</v>
      </c>
      <c r="BI44" s="416">
        <f t="shared" si="32"/>
        <v>0</v>
      </c>
      <c r="BJ44" s="416">
        <f t="shared" si="33"/>
        <v>0</v>
      </c>
      <c r="BK44" s="417"/>
      <c r="BL44" s="416">
        <f t="shared" si="34"/>
        <v>0</v>
      </c>
      <c r="BM44" s="416">
        <f t="shared" si="35"/>
        <v>0</v>
      </c>
      <c r="BN44" s="416">
        <f t="shared" si="36"/>
        <v>0</v>
      </c>
      <c r="BO44" s="416">
        <f t="shared" si="37"/>
        <v>0</v>
      </c>
      <c r="BP44" s="416">
        <f t="shared" si="38"/>
        <v>0</v>
      </c>
      <c r="BQ44" s="416">
        <f t="shared" si="39"/>
        <v>0</v>
      </c>
      <c r="BR44" s="416">
        <f t="shared" si="40"/>
        <v>0</v>
      </c>
    </row>
    <row r="45" spans="1:70" s="417" customFormat="1" x14ac:dyDescent="0.25">
      <c r="A45" s="768" t="s">
        <v>95</v>
      </c>
      <c r="B45" s="409" t="str">
        <f>'ADU-12'!$B$7</f>
        <v>Ecoles</v>
      </c>
      <c r="C45" s="409" t="str">
        <f>'ADU-12'!$B$8</f>
        <v xml:space="preserve">Economies d'énergie dans les bâtiments scolaires </v>
      </c>
      <c r="D45" s="409" t="str">
        <f>'ADU-12'!$C$4</f>
        <v>Communal</v>
      </c>
      <c r="E45" s="409" t="str">
        <f>'ADU-12'!$B$11</f>
        <v>AC HABAY</v>
      </c>
      <c r="F45" s="409" t="str">
        <f>'ADU-12'!$B$5</f>
        <v>Prêt bancaire</v>
      </c>
      <c r="G45" s="410">
        <f>'ADU-12'!$B$16</f>
        <v>1200000</v>
      </c>
      <c r="H45" s="409" t="str">
        <f>'ADU-12'!$B$6</f>
        <v>Subs RW</v>
      </c>
      <c r="I45" s="410">
        <f>'ADU-12'!$B$17</f>
        <v>600000</v>
      </c>
      <c r="J45" s="410">
        <f>'ADU-12'!$B$20</f>
        <v>27631.8</v>
      </c>
      <c r="K45" s="410">
        <f>'ADU-12'!$B$21</f>
        <v>0</v>
      </c>
      <c r="L45" s="419">
        <f>'ADU-12'!$B$23</f>
        <v>21.714112001389704</v>
      </c>
      <c r="M45" s="420">
        <f>'ADU-12'!$B$18/1000</f>
        <v>321.3</v>
      </c>
      <c r="N45" s="413"/>
      <c r="O45" s="414" t="str">
        <f>'ADU-12'!$E$5</f>
        <v>En cours</v>
      </c>
      <c r="P45" s="421">
        <f>'ADU-12'!$B$15</f>
        <v>2020</v>
      </c>
      <c r="Q45" s="247">
        <f t="shared" si="0"/>
        <v>0</v>
      </c>
      <c r="R45" s="416">
        <f t="shared" si="41"/>
        <v>0</v>
      </c>
      <c r="S45" s="416">
        <f t="shared" si="42"/>
        <v>0</v>
      </c>
      <c r="T45" s="416">
        <f t="shared" si="43"/>
        <v>0</v>
      </c>
      <c r="U45" s="416">
        <f t="shared" si="44"/>
        <v>0</v>
      </c>
      <c r="V45" s="416">
        <f t="shared" si="45"/>
        <v>0</v>
      </c>
      <c r="W45" s="416">
        <f t="shared" si="46"/>
        <v>0</v>
      </c>
      <c r="X45" s="416">
        <f t="shared" si="47"/>
        <v>0</v>
      </c>
      <c r="Z45" s="416">
        <f t="shared" si="1"/>
        <v>0</v>
      </c>
      <c r="AA45" s="416">
        <f t="shared" si="2"/>
        <v>0</v>
      </c>
      <c r="AB45" s="416">
        <f t="shared" si="3"/>
        <v>0</v>
      </c>
      <c r="AC45" s="416">
        <f t="shared" si="4"/>
        <v>0</v>
      </c>
      <c r="AD45" s="416">
        <f t="shared" si="5"/>
        <v>0</v>
      </c>
      <c r="AE45" s="416">
        <f t="shared" si="6"/>
        <v>0</v>
      </c>
      <c r="AG45" s="416">
        <f t="shared" si="7"/>
        <v>0</v>
      </c>
      <c r="AH45" s="416">
        <f t="shared" si="8"/>
        <v>0</v>
      </c>
      <c r="AI45" s="416">
        <f t="shared" si="9"/>
        <v>0</v>
      </c>
      <c r="AJ45" s="416">
        <f t="shared" si="10"/>
        <v>0</v>
      </c>
      <c r="AK45" s="416">
        <f t="shared" si="11"/>
        <v>0</v>
      </c>
      <c r="AL45" s="416">
        <f t="shared" si="12"/>
        <v>0</v>
      </c>
      <c r="AM45" s="244"/>
      <c r="AN45" s="416">
        <f t="shared" si="13"/>
        <v>0</v>
      </c>
      <c r="AO45" s="416">
        <f t="shared" si="14"/>
        <v>0</v>
      </c>
      <c r="AP45" s="416">
        <f t="shared" si="15"/>
        <v>0</v>
      </c>
      <c r="AQ45" s="416">
        <f t="shared" si="16"/>
        <v>0</v>
      </c>
      <c r="AR45" s="416">
        <f t="shared" si="17"/>
        <v>0</v>
      </c>
      <c r="AS45" s="416">
        <f t="shared" si="18"/>
        <v>0</v>
      </c>
      <c r="AT45" s="416">
        <f t="shared" si="19"/>
        <v>0</v>
      </c>
      <c r="AV45" s="416">
        <f t="shared" si="20"/>
        <v>0</v>
      </c>
      <c r="AW45" s="416">
        <f t="shared" si="21"/>
        <v>0</v>
      </c>
      <c r="AX45" s="416">
        <f t="shared" si="22"/>
        <v>0</v>
      </c>
      <c r="AY45" s="416">
        <f t="shared" si="23"/>
        <v>0</v>
      </c>
      <c r="AZ45" s="416">
        <f t="shared" si="24"/>
        <v>0</v>
      </c>
      <c r="BA45" s="416">
        <f t="shared" si="25"/>
        <v>0</v>
      </c>
      <c r="BB45" s="416">
        <f t="shared" si="26"/>
        <v>0</v>
      </c>
      <c r="BC45" s="244"/>
      <c r="BD45" s="416">
        <f t="shared" si="27"/>
        <v>0</v>
      </c>
      <c r="BE45" s="416">
        <f t="shared" si="28"/>
        <v>0</v>
      </c>
      <c r="BF45" s="416">
        <f t="shared" si="29"/>
        <v>0</v>
      </c>
      <c r="BG45" s="416">
        <f t="shared" si="30"/>
        <v>0</v>
      </c>
      <c r="BH45" s="416">
        <f t="shared" si="31"/>
        <v>0</v>
      </c>
      <c r="BI45" s="416">
        <f t="shared" si="32"/>
        <v>0</v>
      </c>
      <c r="BJ45" s="416">
        <f t="shared" si="33"/>
        <v>0</v>
      </c>
      <c r="BL45" s="416">
        <f t="shared" si="34"/>
        <v>0</v>
      </c>
      <c r="BM45" s="416">
        <f t="shared" si="35"/>
        <v>0</v>
      </c>
      <c r="BN45" s="416">
        <f t="shared" si="36"/>
        <v>0</v>
      </c>
      <c r="BO45" s="416">
        <f t="shared" si="37"/>
        <v>0</v>
      </c>
      <c r="BP45" s="416">
        <f t="shared" si="38"/>
        <v>0</v>
      </c>
      <c r="BQ45" s="416">
        <f t="shared" si="39"/>
        <v>0</v>
      </c>
      <c r="BR45" s="416">
        <f t="shared" si="40"/>
        <v>0</v>
      </c>
    </row>
    <row r="46" spans="1:70" s="477" customFormat="1" x14ac:dyDescent="0.25">
      <c r="A46" s="769" t="s">
        <v>98</v>
      </c>
      <c r="B46" s="468" t="str">
        <f>'ADU-13'!$B$7</f>
        <v>Logement</v>
      </c>
      <c r="C46" s="468" t="str">
        <f>'ADU-13'!$B$8</f>
        <v>Eclairage économique</v>
      </c>
      <c r="D46" s="468" t="str">
        <f>'ADU-13'!$C$4</f>
        <v>Logement</v>
      </c>
      <c r="E46" s="468" t="str">
        <f>'ADU-13'!$B$11</f>
        <v>Citoyen</v>
      </c>
      <c r="F46" s="468" t="str">
        <f>'ADU-13'!$B$5</f>
        <v>Fonds propres</v>
      </c>
      <c r="G46" s="469">
        <f>'ADU-13'!$B$16</f>
        <v>70000</v>
      </c>
      <c r="H46" s="468" t="str">
        <f>'ADU-13'!$B$6</f>
        <v>Pas de subside</v>
      </c>
      <c r="I46" s="469">
        <f>'ADU-13'!$B$17</f>
        <v>0</v>
      </c>
      <c r="J46" s="469">
        <f>'ADU-13'!$B$20</f>
        <v>26280</v>
      </c>
      <c r="K46" s="469">
        <f>'ADU-13'!$B$21</f>
        <v>0</v>
      </c>
      <c r="L46" s="470">
        <f>'ADU-13'!$B$23</f>
        <v>2.6636225266362255</v>
      </c>
      <c r="M46" s="479">
        <f>'ADU-13'!$B$18/1000</f>
        <v>131.4</v>
      </c>
      <c r="N46" s="472"/>
      <c r="O46" s="473" t="str">
        <f>'ADU-13'!$E$5</f>
        <v>A faire</v>
      </c>
      <c r="P46" s="474">
        <f>'ADU-13'!$B$15</f>
        <v>2020</v>
      </c>
      <c r="Q46" s="475">
        <f t="shared" si="0"/>
        <v>0</v>
      </c>
      <c r="R46" s="475">
        <f t="shared" si="41"/>
        <v>0</v>
      </c>
      <c r="S46" s="475">
        <f t="shared" si="42"/>
        <v>0</v>
      </c>
      <c r="T46" s="475">
        <f t="shared" si="43"/>
        <v>0</v>
      </c>
      <c r="U46" s="475">
        <f t="shared" si="44"/>
        <v>0</v>
      </c>
      <c r="V46" s="475">
        <f t="shared" si="45"/>
        <v>0</v>
      </c>
      <c r="W46" s="475">
        <f t="shared" si="46"/>
        <v>0</v>
      </c>
      <c r="X46" s="475">
        <f t="shared" si="47"/>
        <v>0</v>
      </c>
      <c r="Z46" s="416">
        <f t="shared" si="1"/>
        <v>0</v>
      </c>
      <c r="AA46" s="416">
        <f t="shared" si="2"/>
        <v>0</v>
      </c>
      <c r="AB46" s="416">
        <f t="shared" si="3"/>
        <v>70000</v>
      </c>
      <c r="AC46" s="416">
        <f t="shared" si="4"/>
        <v>0</v>
      </c>
      <c r="AD46" s="416">
        <f t="shared" si="5"/>
        <v>0</v>
      </c>
      <c r="AE46" s="416">
        <f t="shared" si="6"/>
        <v>0</v>
      </c>
      <c r="AF46" s="417"/>
      <c r="AG46" s="416">
        <f t="shared" si="7"/>
        <v>0</v>
      </c>
      <c r="AH46" s="416">
        <f t="shared" si="8"/>
        <v>0</v>
      </c>
      <c r="AI46" s="416">
        <f t="shared" si="9"/>
        <v>0</v>
      </c>
      <c r="AJ46" s="416">
        <f t="shared" si="10"/>
        <v>0</v>
      </c>
      <c r="AK46" s="416">
        <f t="shared" si="11"/>
        <v>0</v>
      </c>
      <c r="AL46" s="416">
        <f t="shared" si="12"/>
        <v>0</v>
      </c>
      <c r="AM46" s="244"/>
      <c r="AN46" s="416">
        <f t="shared" si="13"/>
        <v>0</v>
      </c>
      <c r="AO46" s="416">
        <f t="shared" si="14"/>
        <v>0</v>
      </c>
      <c r="AP46" s="416">
        <f t="shared" si="15"/>
        <v>0</v>
      </c>
      <c r="AQ46" s="416">
        <f t="shared" si="16"/>
        <v>70000</v>
      </c>
      <c r="AR46" s="416">
        <f t="shared" si="17"/>
        <v>0</v>
      </c>
      <c r="AS46" s="416">
        <f t="shared" si="18"/>
        <v>0</v>
      </c>
      <c r="AT46" s="416">
        <f t="shared" si="19"/>
        <v>0</v>
      </c>
      <c r="AU46" s="417"/>
      <c r="AV46" s="416">
        <f t="shared" si="20"/>
        <v>0</v>
      </c>
      <c r="AW46" s="416">
        <f t="shared" si="21"/>
        <v>0</v>
      </c>
      <c r="AX46" s="416">
        <f t="shared" si="22"/>
        <v>0</v>
      </c>
      <c r="AY46" s="416">
        <f t="shared" si="23"/>
        <v>0</v>
      </c>
      <c r="AZ46" s="416">
        <f t="shared" si="24"/>
        <v>0</v>
      </c>
      <c r="BA46" s="416">
        <f t="shared" si="25"/>
        <v>0</v>
      </c>
      <c r="BB46" s="416">
        <f t="shared" si="26"/>
        <v>0</v>
      </c>
      <c r="BC46" s="244"/>
      <c r="BD46" s="416">
        <f t="shared" si="27"/>
        <v>0</v>
      </c>
      <c r="BE46" s="416">
        <f t="shared" si="28"/>
        <v>0</v>
      </c>
      <c r="BF46" s="416">
        <f t="shared" si="29"/>
        <v>0</v>
      </c>
      <c r="BG46" s="416">
        <f t="shared" si="30"/>
        <v>26280</v>
      </c>
      <c r="BH46" s="416">
        <f t="shared" si="31"/>
        <v>0</v>
      </c>
      <c r="BI46" s="416">
        <f t="shared" si="32"/>
        <v>0</v>
      </c>
      <c r="BJ46" s="416">
        <f t="shared" si="33"/>
        <v>0</v>
      </c>
      <c r="BK46" s="417"/>
      <c r="BL46" s="416">
        <f t="shared" si="34"/>
        <v>0</v>
      </c>
      <c r="BM46" s="416">
        <f t="shared" si="35"/>
        <v>0</v>
      </c>
      <c r="BN46" s="416">
        <f t="shared" si="36"/>
        <v>0</v>
      </c>
      <c r="BO46" s="416">
        <f t="shared" si="37"/>
        <v>0</v>
      </c>
      <c r="BP46" s="416">
        <f t="shared" si="38"/>
        <v>0</v>
      </c>
      <c r="BQ46" s="416">
        <f t="shared" si="39"/>
        <v>0</v>
      </c>
      <c r="BR46" s="416">
        <f t="shared" si="40"/>
        <v>0</v>
      </c>
    </row>
    <row r="47" spans="1:70" s="477" customFormat="1" x14ac:dyDescent="0.25">
      <c r="A47" s="676" t="s">
        <v>794</v>
      </c>
      <c r="B47" s="468" t="str">
        <f>'ADU-131'!$B$7</f>
        <v>Logement</v>
      </c>
      <c r="C47" s="468" t="str">
        <f>'ADU-131'!$B$8</f>
        <v>Equipements peu énergivore</v>
      </c>
      <c r="D47" s="468" t="str">
        <f>'ADU-131'!$C$4</f>
        <v>Logement</v>
      </c>
      <c r="E47" s="468" t="str">
        <f>'ADU-131'!$B$11</f>
        <v>Citoyen</v>
      </c>
      <c r="F47" s="468" t="str">
        <f>'ADU-131'!$B$5</f>
        <v>Fonds propres</v>
      </c>
      <c r="G47" s="469">
        <f>'ADU-131'!$B$16</f>
        <v>180000</v>
      </c>
      <c r="H47" s="468" t="str">
        <f>'ADU-131'!$B$6</f>
        <v>Pas de subside</v>
      </c>
      <c r="I47" s="469">
        <f>'ADU-131'!$B$17</f>
        <v>0</v>
      </c>
      <c r="J47" s="469">
        <f>'ADU-131'!$B$20</f>
        <v>21900</v>
      </c>
      <c r="K47" s="469">
        <f>'ADU-131'!$B$21</f>
        <v>0</v>
      </c>
      <c r="L47" s="470">
        <f>'ADU-131'!$B$23</f>
        <v>8.2191780821917817</v>
      </c>
      <c r="M47" s="479">
        <f>'ADU-131'!$B$18/1000</f>
        <v>87.6</v>
      </c>
      <c r="N47" s="472"/>
      <c r="O47" s="473" t="str">
        <f>'ADU-131'!$E$5</f>
        <v>En cours</v>
      </c>
      <c r="P47" s="474">
        <f>'ADU-131'!$B$15</f>
        <v>2020</v>
      </c>
      <c r="Q47" s="475">
        <f t="shared" si="0"/>
        <v>0</v>
      </c>
      <c r="R47" s="475">
        <f t="shared" ref="R47" si="224">IF(O47="Terminé",M47,0)</f>
        <v>0</v>
      </c>
      <c r="S47" s="475">
        <f t="shared" ref="S47" si="225">IF(D47="Agriculture",R47,0)</f>
        <v>0</v>
      </c>
      <c r="T47" s="475">
        <f t="shared" ref="T47" si="226">IF(D47="Industrie", R47,0)</f>
        <v>0</v>
      </c>
      <c r="U47" s="475">
        <f t="shared" ref="U47" si="227">IF(D47="Logement", R47,0)</f>
        <v>0</v>
      </c>
      <c r="V47" s="475">
        <f t="shared" ref="V47" si="228">IF(D47="Tertiaire",R47,0)</f>
        <v>0</v>
      </c>
      <c r="W47" s="475">
        <f t="shared" ref="W47" si="229">IF(D47="Transport",R47,0)</f>
        <v>0</v>
      </c>
      <c r="X47" s="475">
        <f t="shared" ref="X47" si="230">IF(D47="Communal",R47,0)</f>
        <v>0</v>
      </c>
      <c r="Z47" s="416">
        <f t="shared" si="1"/>
        <v>0</v>
      </c>
      <c r="AA47" s="416">
        <f t="shared" si="2"/>
        <v>0</v>
      </c>
      <c r="AB47" s="416">
        <f t="shared" si="3"/>
        <v>0</v>
      </c>
      <c r="AC47" s="416">
        <f t="shared" si="4"/>
        <v>0</v>
      </c>
      <c r="AD47" s="416">
        <f t="shared" si="5"/>
        <v>0</v>
      </c>
      <c r="AE47" s="416">
        <f t="shared" si="6"/>
        <v>0</v>
      </c>
      <c r="AF47" s="417"/>
      <c r="AG47" s="416">
        <f t="shared" si="7"/>
        <v>0</v>
      </c>
      <c r="AH47" s="416">
        <f t="shared" si="8"/>
        <v>0</v>
      </c>
      <c r="AI47" s="416">
        <f t="shared" si="9"/>
        <v>0</v>
      </c>
      <c r="AJ47" s="416">
        <f t="shared" si="10"/>
        <v>0</v>
      </c>
      <c r="AK47" s="416">
        <f t="shared" si="11"/>
        <v>0</v>
      </c>
      <c r="AL47" s="416">
        <f t="shared" si="12"/>
        <v>0</v>
      </c>
      <c r="AM47" s="417"/>
      <c r="AN47" s="416">
        <f t="shared" si="13"/>
        <v>0</v>
      </c>
      <c r="AO47" s="416">
        <f t="shared" si="14"/>
        <v>0</v>
      </c>
      <c r="AP47" s="416">
        <f t="shared" si="15"/>
        <v>0</v>
      </c>
      <c r="AQ47" s="416">
        <f t="shared" si="16"/>
        <v>0</v>
      </c>
      <c r="AR47" s="416">
        <f t="shared" si="17"/>
        <v>0</v>
      </c>
      <c r="AS47" s="416">
        <f t="shared" si="18"/>
        <v>0</v>
      </c>
      <c r="AT47" s="416">
        <f t="shared" si="19"/>
        <v>0</v>
      </c>
      <c r="AU47" s="417"/>
      <c r="AV47" s="416">
        <f t="shared" si="20"/>
        <v>0</v>
      </c>
      <c r="AW47" s="416">
        <f t="shared" si="21"/>
        <v>0</v>
      </c>
      <c r="AX47" s="416">
        <f t="shared" si="22"/>
        <v>0</v>
      </c>
      <c r="AY47" s="416">
        <f t="shared" si="23"/>
        <v>0</v>
      </c>
      <c r="AZ47" s="416">
        <f t="shared" si="24"/>
        <v>0</v>
      </c>
      <c r="BA47" s="416">
        <f t="shared" si="25"/>
        <v>0</v>
      </c>
      <c r="BB47" s="416">
        <f t="shared" si="26"/>
        <v>0</v>
      </c>
      <c r="BC47" s="417"/>
      <c r="BD47" s="416">
        <f t="shared" si="27"/>
        <v>0</v>
      </c>
      <c r="BE47" s="416">
        <f t="shared" si="28"/>
        <v>0</v>
      </c>
      <c r="BF47" s="416">
        <f t="shared" si="29"/>
        <v>0</v>
      </c>
      <c r="BG47" s="416">
        <f t="shared" si="30"/>
        <v>0</v>
      </c>
      <c r="BH47" s="416">
        <f t="shared" si="31"/>
        <v>0</v>
      </c>
      <c r="BI47" s="416">
        <f t="shared" si="32"/>
        <v>0</v>
      </c>
      <c r="BJ47" s="416">
        <f t="shared" si="33"/>
        <v>0</v>
      </c>
      <c r="BK47" s="417"/>
      <c r="BL47" s="416">
        <f t="shared" si="34"/>
        <v>0</v>
      </c>
      <c r="BM47" s="416">
        <f t="shared" si="35"/>
        <v>0</v>
      </c>
      <c r="BN47" s="416">
        <f t="shared" si="36"/>
        <v>0</v>
      </c>
      <c r="BO47" s="416">
        <f t="shared" si="37"/>
        <v>0</v>
      </c>
      <c r="BP47" s="416">
        <f t="shared" si="38"/>
        <v>0</v>
      </c>
      <c r="BQ47" s="416">
        <f t="shared" si="39"/>
        <v>0</v>
      </c>
      <c r="BR47" s="416">
        <f t="shared" si="40"/>
        <v>0</v>
      </c>
    </row>
    <row r="48" spans="1:70" s="477" customFormat="1" x14ac:dyDescent="0.25">
      <c r="A48" s="769" t="s">
        <v>101</v>
      </c>
      <c r="B48" s="468" t="str">
        <f>'ADU-14'!$B$7</f>
        <v>Logement</v>
      </c>
      <c r="C48" s="468" t="str">
        <f>'ADU-14'!$B$8</f>
        <v>Chaudières à condensation</v>
      </c>
      <c r="D48" s="468" t="str">
        <f>'ADU-14'!$C$4</f>
        <v>Logement</v>
      </c>
      <c r="E48" s="468" t="str">
        <f>'ADU-14'!$B$11</f>
        <v>Citoyen</v>
      </c>
      <c r="F48" s="468" t="str">
        <f>'ADU-14'!$B$5</f>
        <v>Fonds propres</v>
      </c>
      <c r="G48" s="469">
        <f>'ADU-14'!$B$16</f>
        <v>500000</v>
      </c>
      <c r="H48" s="468" t="str">
        <f>'ADU-14'!$B$6</f>
        <v>Pas de subside</v>
      </c>
      <c r="I48" s="469">
        <f>'ADU-14'!$B$17</f>
        <v>0</v>
      </c>
      <c r="J48" s="469">
        <f>'ADU-14'!$B$20</f>
        <v>12797.612998522896</v>
      </c>
      <c r="K48" s="469">
        <f>'ADU-14'!$B$21</f>
        <v>0</v>
      </c>
      <c r="L48" s="470">
        <f>'ADU-14'!$B$23</f>
        <v>39.069785909115247</v>
      </c>
      <c r="M48" s="479">
        <f>'ADU-14'!$B$18/1000</f>
        <v>148.80945347119646</v>
      </c>
      <c r="N48" s="472"/>
      <c r="O48" s="473" t="str">
        <f>'ADU-14'!$E$5</f>
        <v>En cours</v>
      </c>
      <c r="P48" s="474">
        <f>'ADU-14'!$B$15</f>
        <v>2020</v>
      </c>
      <c r="Q48" s="475">
        <f t="shared" si="0"/>
        <v>0</v>
      </c>
      <c r="R48" s="475">
        <f t="shared" si="41"/>
        <v>0</v>
      </c>
      <c r="S48" s="475">
        <f t="shared" si="42"/>
        <v>0</v>
      </c>
      <c r="T48" s="475">
        <f t="shared" si="43"/>
        <v>0</v>
      </c>
      <c r="U48" s="475">
        <f t="shared" si="44"/>
        <v>0</v>
      </c>
      <c r="V48" s="475">
        <f t="shared" si="45"/>
        <v>0</v>
      </c>
      <c r="W48" s="475">
        <f t="shared" si="46"/>
        <v>0</v>
      </c>
      <c r="X48" s="475">
        <f t="shared" si="47"/>
        <v>0</v>
      </c>
      <c r="Z48" s="416">
        <f t="shared" si="1"/>
        <v>0</v>
      </c>
      <c r="AA48" s="416">
        <f t="shared" si="2"/>
        <v>0</v>
      </c>
      <c r="AB48" s="416">
        <f t="shared" si="3"/>
        <v>0</v>
      </c>
      <c r="AC48" s="416">
        <f t="shared" si="4"/>
        <v>0</v>
      </c>
      <c r="AD48" s="416">
        <f t="shared" si="5"/>
        <v>0</v>
      </c>
      <c r="AE48" s="416">
        <f t="shared" si="6"/>
        <v>0</v>
      </c>
      <c r="AF48" s="417"/>
      <c r="AG48" s="416">
        <f t="shared" si="7"/>
        <v>0</v>
      </c>
      <c r="AH48" s="416">
        <f t="shared" si="8"/>
        <v>0</v>
      </c>
      <c r="AI48" s="416">
        <f t="shared" si="9"/>
        <v>0</v>
      </c>
      <c r="AJ48" s="416">
        <f t="shared" si="10"/>
        <v>0</v>
      </c>
      <c r="AK48" s="416">
        <f t="shared" si="11"/>
        <v>0</v>
      </c>
      <c r="AL48" s="416">
        <f t="shared" si="12"/>
        <v>0</v>
      </c>
      <c r="AM48" s="417"/>
      <c r="AN48" s="416">
        <f t="shared" si="13"/>
        <v>0</v>
      </c>
      <c r="AO48" s="416">
        <f t="shared" si="14"/>
        <v>0</v>
      </c>
      <c r="AP48" s="416">
        <f t="shared" si="15"/>
        <v>0</v>
      </c>
      <c r="AQ48" s="416">
        <f t="shared" si="16"/>
        <v>0</v>
      </c>
      <c r="AR48" s="416">
        <f t="shared" si="17"/>
        <v>0</v>
      </c>
      <c r="AS48" s="416">
        <f t="shared" si="18"/>
        <v>0</v>
      </c>
      <c r="AT48" s="416">
        <f t="shared" si="19"/>
        <v>0</v>
      </c>
      <c r="AU48" s="417"/>
      <c r="AV48" s="416">
        <f t="shared" si="20"/>
        <v>0</v>
      </c>
      <c r="AW48" s="416">
        <f t="shared" si="21"/>
        <v>0</v>
      </c>
      <c r="AX48" s="416">
        <f t="shared" si="22"/>
        <v>0</v>
      </c>
      <c r="AY48" s="416">
        <f t="shared" si="23"/>
        <v>0</v>
      </c>
      <c r="AZ48" s="416">
        <f t="shared" si="24"/>
        <v>0</v>
      </c>
      <c r="BA48" s="416">
        <f t="shared" si="25"/>
        <v>0</v>
      </c>
      <c r="BB48" s="416">
        <f t="shared" si="26"/>
        <v>0</v>
      </c>
      <c r="BC48" s="417"/>
      <c r="BD48" s="416">
        <f t="shared" si="27"/>
        <v>0</v>
      </c>
      <c r="BE48" s="416">
        <f t="shared" si="28"/>
        <v>0</v>
      </c>
      <c r="BF48" s="416">
        <f t="shared" si="29"/>
        <v>0</v>
      </c>
      <c r="BG48" s="416">
        <f t="shared" si="30"/>
        <v>0</v>
      </c>
      <c r="BH48" s="416">
        <f t="shared" si="31"/>
        <v>0</v>
      </c>
      <c r="BI48" s="416">
        <f t="shared" si="32"/>
        <v>0</v>
      </c>
      <c r="BJ48" s="416">
        <f t="shared" si="33"/>
        <v>0</v>
      </c>
      <c r="BK48" s="417"/>
      <c r="BL48" s="416">
        <f t="shared" si="34"/>
        <v>0</v>
      </c>
      <c r="BM48" s="416">
        <f t="shared" si="35"/>
        <v>0</v>
      </c>
      <c r="BN48" s="416">
        <f t="shared" si="36"/>
        <v>0</v>
      </c>
      <c r="BO48" s="416">
        <f t="shared" si="37"/>
        <v>0</v>
      </c>
      <c r="BP48" s="416">
        <f t="shared" si="38"/>
        <v>0</v>
      </c>
      <c r="BQ48" s="416">
        <f t="shared" si="39"/>
        <v>0</v>
      </c>
      <c r="BR48" s="416">
        <f t="shared" si="40"/>
        <v>0</v>
      </c>
    </row>
    <row r="49" spans="1:70" s="477" customFormat="1" x14ac:dyDescent="0.25">
      <c r="A49" s="769" t="s">
        <v>104</v>
      </c>
      <c r="B49" s="468" t="str">
        <f>'ADU-15'!$B$7</f>
        <v>Logement</v>
      </c>
      <c r="C49" s="468" t="str">
        <f>'ADU-15'!$B$8</f>
        <v>Changement de vecteur énergétique pour le chauffage</v>
      </c>
      <c r="D49" s="468" t="str">
        <f>'ADU-15'!$C$4</f>
        <v>Logement</v>
      </c>
      <c r="E49" s="468" t="str">
        <f>'ADU-15'!$B$11</f>
        <v>Citoyen</v>
      </c>
      <c r="F49" s="468" t="str">
        <f>'ADU-15'!$B$5</f>
        <v>ECOPACK</v>
      </c>
      <c r="G49" s="469">
        <f>'ADU-15'!$B$16</f>
        <v>750000</v>
      </c>
      <c r="H49" s="468" t="str">
        <f>'ADU-15'!$B$6</f>
        <v>Prime RW</v>
      </c>
      <c r="I49" s="469">
        <f>'ADU-15'!$B$17</f>
        <v>40000</v>
      </c>
      <c r="J49" s="469">
        <f>'ADU-15'!$B$20</f>
        <v>63988.064992614476</v>
      </c>
      <c r="K49" s="469">
        <f>'ADU-15'!$B$21</f>
        <v>0</v>
      </c>
      <c r="L49" s="470">
        <f>'ADU-15'!$B$23</f>
        <v>11.095819198188732</v>
      </c>
      <c r="M49" s="479">
        <f>'ADU-15'!$B$18/1000</f>
        <v>744.04726735598229</v>
      </c>
      <c r="N49" s="472"/>
      <c r="O49" s="473" t="str">
        <f>'ADU-15'!$E$5</f>
        <v>En cours</v>
      </c>
      <c r="P49" s="474">
        <f>'ADU-15'!$B$15</f>
        <v>2020</v>
      </c>
      <c r="Q49" s="475">
        <f t="shared" si="0"/>
        <v>0</v>
      </c>
      <c r="R49" s="475">
        <f t="shared" si="41"/>
        <v>0</v>
      </c>
      <c r="S49" s="475">
        <f t="shared" si="42"/>
        <v>0</v>
      </c>
      <c r="T49" s="475">
        <f t="shared" si="43"/>
        <v>0</v>
      </c>
      <c r="U49" s="475">
        <f t="shared" si="44"/>
        <v>0</v>
      </c>
      <c r="V49" s="475">
        <f t="shared" si="45"/>
        <v>0</v>
      </c>
      <c r="W49" s="475">
        <f t="shared" si="46"/>
        <v>0</v>
      </c>
      <c r="X49" s="475">
        <f t="shared" si="47"/>
        <v>0</v>
      </c>
      <c r="Z49" s="416">
        <f t="shared" si="1"/>
        <v>0</v>
      </c>
      <c r="AA49" s="416">
        <f t="shared" si="2"/>
        <v>0</v>
      </c>
      <c r="AB49" s="416">
        <f t="shared" si="3"/>
        <v>0</v>
      </c>
      <c r="AC49" s="416">
        <f t="shared" si="4"/>
        <v>0</v>
      </c>
      <c r="AD49" s="416">
        <f t="shared" si="5"/>
        <v>0</v>
      </c>
      <c r="AE49" s="416">
        <f t="shared" si="6"/>
        <v>0</v>
      </c>
      <c r="AF49" s="417"/>
      <c r="AG49" s="416">
        <f t="shared" si="7"/>
        <v>0</v>
      </c>
      <c r="AH49" s="416">
        <f t="shared" si="8"/>
        <v>0</v>
      </c>
      <c r="AI49" s="416">
        <f t="shared" si="9"/>
        <v>0</v>
      </c>
      <c r="AJ49" s="416">
        <f t="shared" si="10"/>
        <v>0</v>
      </c>
      <c r="AK49" s="416">
        <f t="shared" si="11"/>
        <v>0</v>
      </c>
      <c r="AL49" s="416">
        <f t="shared" si="12"/>
        <v>0</v>
      </c>
      <c r="AM49" s="417"/>
      <c r="AN49" s="416">
        <f t="shared" si="13"/>
        <v>0</v>
      </c>
      <c r="AO49" s="416">
        <f t="shared" si="14"/>
        <v>0</v>
      </c>
      <c r="AP49" s="416">
        <f t="shared" si="15"/>
        <v>0</v>
      </c>
      <c r="AQ49" s="416">
        <f t="shared" si="16"/>
        <v>0</v>
      </c>
      <c r="AR49" s="416">
        <f t="shared" si="17"/>
        <v>0</v>
      </c>
      <c r="AS49" s="416">
        <f t="shared" si="18"/>
        <v>0</v>
      </c>
      <c r="AT49" s="416">
        <f t="shared" si="19"/>
        <v>0</v>
      </c>
      <c r="AU49" s="417"/>
      <c r="AV49" s="416">
        <f t="shared" si="20"/>
        <v>0</v>
      </c>
      <c r="AW49" s="416">
        <f t="shared" si="21"/>
        <v>0</v>
      </c>
      <c r="AX49" s="416">
        <f t="shared" si="22"/>
        <v>0</v>
      </c>
      <c r="AY49" s="416">
        <f t="shared" si="23"/>
        <v>0</v>
      </c>
      <c r="AZ49" s="416">
        <f t="shared" si="24"/>
        <v>0</v>
      </c>
      <c r="BA49" s="416">
        <f t="shared" si="25"/>
        <v>0</v>
      </c>
      <c r="BB49" s="416">
        <f t="shared" si="26"/>
        <v>0</v>
      </c>
      <c r="BC49" s="417"/>
      <c r="BD49" s="416">
        <f t="shared" si="27"/>
        <v>0</v>
      </c>
      <c r="BE49" s="416">
        <f t="shared" si="28"/>
        <v>0</v>
      </c>
      <c r="BF49" s="416">
        <f t="shared" si="29"/>
        <v>0</v>
      </c>
      <c r="BG49" s="416">
        <f t="shared" si="30"/>
        <v>0</v>
      </c>
      <c r="BH49" s="416">
        <f t="shared" si="31"/>
        <v>0</v>
      </c>
      <c r="BI49" s="416">
        <f t="shared" si="32"/>
        <v>0</v>
      </c>
      <c r="BJ49" s="416">
        <f t="shared" si="33"/>
        <v>0</v>
      </c>
      <c r="BK49" s="417"/>
      <c r="BL49" s="416">
        <f t="shared" si="34"/>
        <v>0</v>
      </c>
      <c r="BM49" s="416">
        <f t="shared" si="35"/>
        <v>0</v>
      </c>
      <c r="BN49" s="416">
        <f t="shared" si="36"/>
        <v>0</v>
      </c>
      <c r="BO49" s="416">
        <f t="shared" si="37"/>
        <v>0</v>
      </c>
      <c r="BP49" s="416">
        <f t="shared" si="38"/>
        <v>0</v>
      </c>
      <c r="BQ49" s="416">
        <f t="shared" si="39"/>
        <v>0</v>
      </c>
      <c r="BR49" s="416">
        <f t="shared" si="40"/>
        <v>0</v>
      </c>
    </row>
    <row r="50" spans="1:70" s="503" customFormat="1" x14ac:dyDescent="0.25">
      <c r="A50" s="770" t="s">
        <v>106</v>
      </c>
      <c r="B50" s="494" t="str">
        <f>'ADU-16'!$B$7</f>
        <v>Logement</v>
      </c>
      <c r="C50" s="494" t="str">
        <f>'ADU-16'!$B$8</f>
        <v>Installations photovoltaïques</v>
      </c>
      <c r="D50" s="494" t="str">
        <f>'ADU-16'!$C$4</f>
        <v>Logement</v>
      </c>
      <c r="E50" s="494" t="str">
        <f>'ADU-16'!$B$11</f>
        <v>Citoyen</v>
      </c>
      <c r="F50" s="494" t="str">
        <f>'ADU-16'!$B$5</f>
        <v>Prêt bancaire</v>
      </c>
      <c r="G50" s="495">
        <f>'ADU-16'!$B$16</f>
        <v>819835.80000000016</v>
      </c>
      <c r="H50" s="494" t="str">
        <f>'ADU-16'!$B$6</f>
        <v>Prime RW</v>
      </c>
      <c r="I50" s="495">
        <f>'ADU-16'!$B$17</f>
        <v>529925.80000000016</v>
      </c>
      <c r="J50" s="495">
        <f>'ADU-16'!$B$20</f>
        <v>36252</v>
      </c>
      <c r="K50" s="495">
        <f>'ADU-16'!$B$21</f>
        <v>0</v>
      </c>
      <c r="L50" s="496">
        <f>'ADU-16'!$B$23</f>
        <v>7.9970760233918128</v>
      </c>
      <c r="M50" s="505">
        <f>'ADU-16'!$B$18/1000</f>
        <v>0</v>
      </c>
      <c r="N50" s="498"/>
      <c r="O50" s="499" t="str">
        <f>'ADU-16'!$E$5</f>
        <v>Terminé</v>
      </c>
      <c r="P50" s="500">
        <f>'ADU-16'!$B$15</f>
        <v>2020</v>
      </c>
      <c r="Q50" s="501">
        <f t="shared" si="0"/>
        <v>0</v>
      </c>
      <c r="R50" s="501">
        <f t="shared" si="41"/>
        <v>0</v>
      </c>
      <c r="S50" s="501">
        <f t="shared" si="42"/>
        <v>0</v>
      </c>
      <c r="T50" s="501">
        <f t="shared" si="43"/>
        <v>0</v>
      </c>
      <c r="U50" s="501">
        <f t="shared" si="44"/>
        <v>0</v>
      </c>
      <c r="V50" s="501">
        <f t="shared" si="45"/>
        <v>0</v>
      </c>
      <c r="W50" s="501">
        <f t="shared" si="46"/>
        <v>0</v>
      </c>
      <c r="X50" s="501">
        <f t="shared" si="47"/>
        <v>0</v>
      </c>
      <c r="Z50" s="416">
        <f t="shared" si="1"/>
        <v>0</v>
      </c>
      <c r="AA50" s="416">
        <f t="shared" si="2"/>
        <v>0</v>
      </c>
      <c r="AB50" s="416">
        <f t="shared" si="3"/>
        <v>0</v>
      </c>
      <c r="AC50" s="416">
        <f t="shared" si="4"/>
        <v>0</v>
      </c>
      <c r="AD50" s="416">
        <f t="shared" si="5"/>
        <v>0</v>
      </c>
      <c r="AE50" s="416">
        <f t="shared" si="6"/>
        <v>0</v>
      </c>
      <c r="AF50" s="417"/>
      <c r="AG50" s="416">
        <f t="shared" si="7"/>
        <v>0</v>
      </c>
      <c r="AH50" s="416">
        <f t="shared" si="8"/>
        <v>0</v>
      </c>
      <c r="AI50" s="416">
        <f t="shared" si="9"/>
        <v>0</v>
      </c>
      <c r="AJ50" s="416">
        <f t="shared" si="10"/>
        <v>0</v>
      </c>
      <c r="AK50" s="416">
        <f t="shared" si="11"/>
        <v>0</v>
      </c>
      <c r="AL50" s="416">
        <f t="shared" si="12"/>
        <v>0</v>
      </c>
      <c r="AM50" s="417"/>
      <c r="AN50" s="416">
        <f t="shared" si="13"/>
        <v>0</v>
      </c>
      <c r="AO50" s="416">
        <f t="shared" si="14"/>
        <v>0</v>
      </c>
      <c r="AP50" s="416">
        <f t="shared" si="15"/>
        <v>0</v>
      </c>
      <c r="AQ50" s="416">
        <f t="shared" si="16"/>
        <v>0</v>
      </c>
      <c r="AR50" s="416">
        <f t="shared" si="17"/>
        <v>0</v>
      </c>
      <c r="AS50" s="416">
        <f t="shared" si="18"/>
        <v>0</v>
      </c>
      <c r="AT50" s="416">
        <f t="shared" si="19"/>
        <v>0</v>
      </c>
      <c r="AU50" s="417"/>
      <c r="AV50" s="416">
        <f t="shared" si="20"/>
        <v>0</v>
      </c>
      <c r="AW50" s="416">
        <f t="shared" si="21"/>
        <v>0</v>
      </c>
      <c r="AX50" s="416">
        <f t="shared" si="22"/>
        <v>0</v>
      </c>
      <c r="AY50" s="416">
        <f t="shared" si="23"/>
        <v>0</v>
      </c>
      <c r="AZ50" s="416">
        <f t="shared" si="24"/>
        <v>0</v>
      </c>
      <c r="BA50" s="416">
        <f t="shared" si="25"/>
        <v>0</v>
      </c>
      <c r="BB50" s="416">
        <f t="shared" si="26"/>
        <v>0</v>
      </c>
      <c r="BC50" s="417"/>
      <c r="BD50" s="416">
        <f t="shared" si="27"/>
        <v>0</v>
      </c>
      <c r="BE50" s="416">
        <f t="shared" si="28"/>
        <v>0</v>
      </c>
      <c r="BF50" s="416">
        <f t="shared" si="29"/>
        <v>0</v>
      </c>
      <c r="BG50" s="416">
        <f t="shared" si="30"/>
        <v>0</v>
      </c>
      <c r="BH50" s="416">
        <f t="shared" si="31"/>
        <v>0</v>
      </c>
      <c r="BI50" s="416">
        <f t="shared" si="32"/>
        <v>0</v>
      </c>
      <c r="BJ50" s="416">
        <f t="shared" si="33"/>
        <v>0</v>
      </c>
      <c r="BK50" s="417"/>
      <c r="BL50" s="416">
        <f t="shared" si="34"/>
        <v>0</v>
      </c>
      <c r="BM50" s="416">
        <f t="shared" si="35"/>
        <v>0</v>
      </c>
      <c r="BN50" s="416">
        <f t="shared" si="36"/>
        <v>0</v>
      </c>
      <c r="BO50" s="416">
        <f t="shared" si="37"/>
        <v>0</v>
      </c>
      <c r="BP50" s="416">
        <f t="shared" si="38"/>
        <v>0</v>
      </c>
      <c r="BQ50" s="416">
        <f t="shared" si="39"/>
        <v>0</v>
      </c>
      <c r="BR50" s="416">
        <f t="shared" si="40"/>
        <v>0</v>
      </c>
    </row>
    <row r="51" spans="1:70" s="503" customFormat="1" x14ac:dyDescent="0.25">
      <c r="A51" s="770" t="s">
        <v>109</v>
      </c>
      <c r="B51" s="494" t="str">
        <f>'ADU-17'!$B$7</f>
        <v>bâtiments communaux</v>
      </c>
      <c r="C51" s="494" t="str">
        <f>'ADU-17'!$B$8</f>
        <v>Installations photovoltaïques pour les bâtiments communaux</v>
      </c>
      <c r="D51" s="494" t="str">
        <f>'ADU-17'!$C$4</f>
        <v>Communal</v>
      </c>
      <c r="E51" s="494" t="str">
        <f>'ADU-17'!$B$11</f>
        <v>AC HABAY</v>
      </c>
      <c r="F51" s="494" t="str">
        <f>'ADU-17'!$B$5</f>
        <v>Prêt bancaire</v>
      </c>
      <c r="G51" s="495">
        <f>'ADU-17'!$B$16</f>
        <v>257810.00000000003</v>
      </c>
      <c r="H51" s="494" t="str">
        <f>'ADU-17'!$B$6</f>
        <v>Prime RW</v>
      </c>
      <c r="I51" s="495">
        <f>'ADU-17'!$B$17</f>
        <v>166643.33333333337</v>
      </c>
      <c r="J51" s="495">
        <f>'ADU-17'!$B$20</f>
        <v>11400</v>
      </c>
      <c r="K51" s="495">
        <f>'ADU-17'!$B$21</f>
        <v>0</v>
      </c>
      <c r="L51" s="496">
        <f>'ADU-17'!$B$23</f>
        <v>7.9970760233918119</v>
      </c>
      <c r="M51" s="505">
        <f>'ADU-17'!$B$18/1000</f>
        <v>0</v>
      </c>
      <c r="N51" s="498"/>
      <c r="O51" s="499" t="str">
        <f>'ADU-17'!$E$5</f>
        <v>A faire</v>
      </c>
      <c r="P51" s="500">
        <f>'ADU-17'!$B$15</f>
        <v>2020</v>
      </c>
      <c r="Q51" s="501">
        <f t="shared" si="0"/>
        <v>0</v>
      </c>
      <c r="R51" s="501">
        <f t="shared" si="41"/>
        <v>0</v>
      </c>
      <c r="S51" s="501">
        <f t="shared" si="42"/>
        <v>0</v>
      </c>
      <c r="T51" s="501">
        <f t="shared" si="43"/>
        <v>0</v>
      </c>
      <c r="U51" s="501">
        <f t="shared" si="44"/>
        <v>0</v>
      </c>
      <c r="V51" s="501">
        <f t="shared" si="45"/>
        <v>0</v>
      </c>
      <c r="W51" s="501">
        <f t="shared" si="46"/>
        <v>0</v>
      </c>
      <c r="X51" s="501">
        <f t="shared" si="47"/>
        <v>0</v>
      </c>
      <c r="Z51" s="661">
        <f t="shared" si="1"/>
        <v>0</v>
      </c>
      <c r="AA51" s="661">
        <f t="shared" si="2"/>
        <v>0</v>
      </c>
      <c r="AB51" s="661">
        <f t="shared" si="3"/>
        <v>0</v>
      </c>
      <c r="AC51" s="661">
        <f t="shared" si="4"/>
        <v>0</v>
      </c>
      <c r="AD51" s="416">
        <f t="shared" si="5"/>
        <v>257810.00000000003</v>
      </c>
      <c r="AE51" s="661">
        <f t="shared" si="6"/>
        <v>0</v>
      </c>
      <c r="AF51" s="662"/>
      <c r="AG51" s="661">
        <f t="shared" si="7"/>
        <v>0</v>
      </c>
      <c r="AH51" s="661">
        <f t="shared" si="8"/>
        <v>0</v>
      </c>
      <c r="AI51" s="661">
        <f t="shared" si="9"/>
        <v>0</v>
      </c>
      <c r="AJ51" s="661">
        <f t="shared" si="10"/>
        <v>0</v>
      </c>
      <c r="AK51" s="416">
        <f t="shared" si="11"/>
        <v>166643.33333333337</v>
      </c>
      <c r="AL51" s="661">
        <f t="shared" si="12"/>
        <v>0</v>
      </c>
      <c r="AM51" s="244"/>
      <c r="AN51" s="661">
        <f t="shared" si="13"/>
        <v>0</v>
      </c>
      <c r="AO51" s="661">
        <f t="shared" si="14"/>
        <v>0</v>
      </c>
      <c r="AP51" s="661">
        <f t="shared" si="15"/>
        <v>0</v>
      </c>
      <c r="AQ51" s="661">
        <f t="shared" si="16"/>
        <v>0</v>
      </c>
      <c r="AR51" s="661">
        <f t="shared" si="17"/>
        <v>0</v>
      </c>
      <c r="AS51" s="661">
        <f t="shared" si="18"/>
        <v>0</v>
      </c>
      <c r="AT51" s="661">
        <f t="shared" si="19"/>
        <v>257810.00000000003</v>
      </c>
      <c r="AU51" s="662"/>
      <c r="AV51" s="661">
        <f t="shared" si="20"/>
        <v>0</v>
      </c>
      <c r="AW51" s="661">
        <f t="shared" si="21"/>
        <v>0</v>
      </c>
      <c r="AX51" s="661">
        <f t="shared" si="22"/>
        <v>0</v>
      </c>
      <c r="AY51" s="661">
        <f t="shared" si="23"/>
        <v>0</v>
      </c>
      <c r="AZ51" s="661">
        <f t="shared" si="24"/>
        <v>0</v>
      </c>
      <c r="BA51" s="661">
        <f t="shared" si="25"/>
        <v>0</v>
      </c>
      <c r="BB51" s="661">
        <f t="shared" si="26"/>
        <v>166643.33333333337</v>
      </c>
      <c r="BC51" s="244"/>
      <c r="BD51" s="661">
        <f t="shared" si="27"/>
        <v>0</v>
      </c>
      <c r="BE51" s="661">
        <f t="shared" si="28"/>
        <v>0</v>
      </c>
      <c r="BF51" s="661">
        <f t="shared" si="29"/>
        <v>0</v>
      </c>
      <c r="BG51" s="661">
        <f t="shared" si="30"/>
        <v>0</v>
      </c>
      <c r="BH51" s="661">
        <f t="shared" si="31"/>
        <v>0</v>
      </c>
      <c r="BI51" s="661">
        <f t="shared" si="32"/>
        <v>0</v>
      </c>
      <c r="BJ51" s="661">
        <f t="shared" si="33"/>
        <v>11400</v>
      </c>
      <c r="BK51" s="662"/>
      <c r="BL51" s="661">
        <f t="shared" si="34"/>
        <v>0</v>
      </c>
      <c r="BM51" s="661">
        <f t="shared" si="35"/>
        <v>0</v>
      </c>
      <c r="BN51" s="661">
        <f t="shared" si="36"/>
        <v>0</v>
      </c>
      <c r="BO51" s="661">
        <f t="shared" si="37"/>
        <v>0</v>
      </c>
      <c r="BP51" s="661">
        <f t="shared" si="38"/>
        <v>0</v>
      </c>
      <c r="BQ51" s="661">
        <f t="shared" si="39"/>
        <v>0</v>
      </c>
      <c r="BR51" s="661">
        <f t="shared" si="40"/>
        <v>0</v>
      </c>
    </row>
    <row r="52" spans="1:70" s="503" customFormat="1" x14ac:dyDescent="0.25">
      <c r="A52" s="770" t="s">
        <v>114</v>
      </c>
      <c r="B52" s="494" t="str">
        <f>'ADU-18'!$B$7</f>
        <v>bâtiments industriels</v>
      </c>
      <c r="C52" s="494" t="str">
        <f>'ADU-18'!$B$8</f>
        <v>Installations photovoltaïques pour les bâtiments industriels</v>
      </c>
      <c r="D52" s="494" t="str">
        <f>'ADU-18'!$C$4</f>
        <v>Industrie</v>
      </c>
      <c r="E52" s="494" t="str">
        <f>'ADU-18'!$B$11</f>
        <v>Industrie</v>
      </c>
      <c r="F52" s="494" t="str">
        <f>'ADU-18'!$B$5</f>
        <v>Prêt bancaire</v>
      </c>
      <c r="G52" s="495">
        <f>'ADU-18'!$B$16</f>
        <v>2764850</v>
      </c>
      <c r="H52" s="494" t="str">
        <f>'ADU-18'!$B$6</f>
        <v>CV</v>
      </c>
      <c r="I52" s="495">
        <f>'ADU-18'!$B$17</f>
        <v>0</v>
      </c>
      <c r="J52" s="495">
        <f>'ADU-18'!$B$20</f>
        <v>127500</v>
      </c>
      <c r="K52" s="495">
        <f>'ADU-18'!$B$21</f>
        <v>132600</v>
      </c>
      <c r="L52" s="496">
        <f>'ADU-18'!$B$23</f>
        <v>10.629950019223376</v>
      </c>
      <c r="M52" s="505">
        <f>'ADU-18'!$B$18/1000</f>
        <v>0</v>
      </c>
      <c r="N52" s="498"/>
      <c r="O52" s="499" t="str">
        <f>'ADU-18'!$E$5</f>
        <v>A faire</v>
      </c>
      <c r="P52" s="500">
        <f>'ADU-18'!$B$15</f>
        <v>2020</v>
      </c>
      <c r="Q52" s="501">
        <f t="shared" si="0"/>
        <v>0</v>
      </c>
      <c r="R52" s="501">
        <f t="shared" si="41"/>
        <v>0</v>
      </c>
      <c r="S52" s="501">
        <f t="shared" si="42"/>
        <v>0</v>
      </c>
      <c r="T52" s="501">
        <f t="shared" si="43"/>
        <v>0</v>
      </c>
      <c r="U52" s="501">
        <f t="shared" si="44"/>
        <v>0</v>
      </c>
      <c r="V52" s="501">
        <f t="shared" si="45"/>
        <v>0</v>
      </c>
      <c r="W52" s="501">
        <f t="shared" si="46"/>
        <v>0</v>
      </c>
      <c r="X52" s="501">
        <f t="shared" si="47"/>
        <v>0</v>
      </c>
      <c r="Z52" s="666">
        <f t="shared" si="1"/>
        <v>0</v>
      </c>
      <c r="AA52" s="666">
        <f t="shared" si="2"/>
        <v>2764850</v>
      </c>
      <c r="AB52" s="666">
        <f t="shared" si="3"/>
        <v>0</v>
      </c>
      <c r="AC52" s="666">
        <f t="shared" si="4"/>
        <v>0</v>
      </c>
      <c r="AD52" s="416">
        <f t="shared" si="5"/>
        <v>0</v>
      </c>
      <c r="AE52" s="666">
        <f t="shared" si="6"/>
        <v>0</v>
      </c>
      <c r="AF52" s="667"/>
      <c r="AG52" s="666">
        <f t="shared" si="7"/>
        <v>0</v>
      </c>
      <c r="AH52" s="666">
        <f t="shared" si="8"/>
        <v>0</v>
      </c>
      <c r="AI52" s="666">
        <f t="shared" si="9"/>
        <v>0</v>
      </c>
      <c r="AJ52" s="666">
        <f t="shared" si="10"/>
        <v>0</v>
      </c>
      <c r="AK52" s="416">
        <f t="shared" si="11"/>
        <v>0</v>
      </c>
      <c r="AL52" s="666">
        <f t="shared" si="12"/>
        <v>0</v>
      </c>
      <c r="AM52" s="244"/>
      <c r="AN52" s="666">
        <f t="shared" si="13"/>
        <v>0</v>
      </c>
      <c r="AO52" s="666">
        <f t="shared" si="14"/>
        <v>0</v>
      </c>
      <c r="AP52" s="666">
        <f t="shared" si="15"/>
        <v>2764850</v>
      </c>
      <c r="AQ52" s="666">
        <f t="shared" si="16"/>
        <v>0</v>
      </c>
      <c r="AR52" s="666">
        <f t="shared" si="17"/>
        <v>0</v>
      </c>
      <c r="AS52" s="666">
        <f t="shared" si="18"/>
        <v>0</v>
      </c>
      <c r="AT52" s="666">
        <f t="shared" si="19"/>
        <v>0</v>
      </c>
      <c r="AU52" s="667"/>
      <c r="AV52" s="666">
        <f t="shared" si="20"/>
        <v>0</v>
      </c>
      <c r="AW52" s="666">
        <f t="shared" si="21"/>
        <v>0</v>
      </c>
      <c r="AX52" s="666">
        <f t="shared" si="22"/>
        <v>0</v>
      </c>
      <c r="AY52" s="666">
        <f t="shared" si="23"/>
        <v>0</v>
      </c>
      <c r="AZ52" s="666">
        <f t="shared" si="24"/>
        <v>0</v>
      </c>
      <c r="BA52" s="666">
        <f t="shared" si="25"/>
        <v>0</v>
      </c>
      <c r="BB52" s="666">
        <f t="shared" si="26"/>
        <v>0</v>
      </c>
      <c r="BC52" s="244"/>
      <c r="BD52" s="666">
        <f t="shared" si="27"/>
        <v>0</v>
      </c>
      <c r="BE52" s="666">
        <f t="shared" si="28"/>
        <v>0</v>
      </c>
      <c r="BF52" s="666">
        <f t="shared" si="29"/>
        <v>127500</v>
      </c>
      <c r="BG52" s="666">
        <f t="shared" si="30"/>
        <v>0</v>
      </c>
      <c r="BH52" s="666">
        <f t="shared" si="31"/>
        <v>0</v>
      </c>
      <c r="BI52" s="666">
        <f t="shared" si="32"/>
        <v>0</v>
      </c>
      <c r="BJ52" s="666">
        <f t="shared" si="33"/>
        <v>0</v>
      </c>
      <c r="BK52" s="667"/>
      <c r="BL52" s="666">
        <f t="shared" si="34"/>
        <v>0</v>
      </c>
      <c r="BM52" s="666">
        <f t="shared" si="35"/>
        <v>0</v>
      </c>
      <c r="BN52" s="666">
        <f t="shared" si="36"/>
        <v>132600</v>
      </c>
      <c r="BO52" s="666">
        <f t="shared" si="37"/>
        <v>0</v>
      </c>
      <c r="BP52" s="666">
        <f t="shared" si="38"/>
        <v>0</v>
      </c>
      <c r="BQ52" s="666">
        <f t="shared" si="39"/>
        <v>0</v>
      </c>
      <c r="BR52" s="666">
        <f t="shared" si="40"/>
        <v>0</v>
      </c>
    </row>
    <row r="53" spans="1:70" s="503" customFormat="1" x14ac:dyDescent="0.25">
      <c r="A53" s="770" t="s">
        <v>118</v>
      </c>
      <c r="B53" s="494" t="str">
        <f>'ADU-19'!$B$7</f>
        <v>bâtiments agricoles</v>
      </c>
      <c r="C53" s="494" t="str">
        <f>'ADU-19'!$B$8</f>
        <v>Installations photovoltaïques pour les bâtiments agricoles</v>
      </c>
      <c r="D53" s="494" t="str">
        <f>'ADU-19'!$C$4</f>
        <v>Agriculture</v>
      </c>
      <c r="E53" s="494" t="str">
        <f>'ADU-19'!$B$11</f>
        <v>Agriculture</v>
      </c>
      <c r="F53" s="494" t="str">
        <f>'ADU-19'!$B$5</f>
        <v>1/3 invest</v>
      </c>
      <c r="G53" s="495">
        <f>'ADU-19'!$B$16</f>
        <v>276485</v>
      </c>
      <c r="H53" s="494" t="str">
        <f>'ADU-19'!$B$6</f>
        <v>CV</v>
      </c>
      <c r="I53" s="495">
        <f>'ADU-19'!$B$17</f>
        <v>0</v>
      </c>
      <c r="J53" s="495">
        <f>'ADU-19'!$B$20</f>
        <v>12750</v>
      </c>
      <c r="K53" s="495">
        <f>'ADU-19'!$B$21</f>
        <v>13260</v>
      </c>
      <c r="L53" s="496">
        <f>'ADU-19'!$B$23</f>
        <v>10.629950019223376</v>
      </c>
      <c r="M53" s="505">
        <f>'ADU-19'!$B$18/1000</f>
        <v>0</v>
      </c>
      <c r="N53" s="498"/>
      <c r="O53" s="499" t="str">
        <f>'ADU-19'!$E$5</f>
        <v>A faire</v>
      </c>
      <c r="P53" s="500">
        <f>'ADU-19'!$B$15</f>
        <v>2020</v>
      </c>
      <c r="Q53" s="501">
        <f t="shared" si="0"/>
        <v>0</v>
      </c>
      <c r="R53" s="501">
        <f t="shared" si="41"/>
        <v>0</v>
      </c>
      <c r="S53" s="501">
        <f t="shared" si="42"/>
        <v>0</v>
      </c>
      <c r="T53" s="501">
        <f t="shared" si="43"/>
        <v>0</v>
      </c>
      <c r="U53" s="501">
        <f t="shared" si="44"/>
        <v>0</v>
      </c>
      <c r="V53" s="501">
        <f t="shared" si="45"/>
        <v>0</v>
      </c>
      <c r="W53" s="501">
        <f t="shared" si="46"/>
        <v>0</v>
      </c>
      <c r="X53" s="501">
        <f t="shared" si="47"/>
        <v>0</v>
      </c>
      <c r="Z53" s="668">
        <f t="shared" si="1"/>
        <v>276485</v>
      </c>
      <c r="AA53" s="668">
        <f t="shared" si="2"/>
        <v>0</v>
      </c>
      <c r="AB53" s="668">
        <f t="shared" si="3"/>
        <v>0</v>
      </c>
      <c r="AC53" s="668">
        <f t="shared" si="4"/>
        <v>0</v>
      </c>
      <c r="AD53" s="416">
        <f t="shared" si="5"/>
        <v>0</v>
      </c>
      <c r="AE53" s="668">
        <f t="shared" si="6"/>
        <v>0</v>
      </c>
      <c r="AF53" s="669"/>
      <c r="AG53" s="668">
        <f t="shared" si="7"/>
        <v>0</v>
      </c>
      <c r="AH53" s="668">
        <f t="shared" si="8"/>
        <v>0</v>
      </c>
      <c r="AI53" s="668">
        <f t="shared" si="9"/>
        <v>0</v>
      </c>
      <c r="AJ53" s="668">
        <f t="shared" si="10"/>
        <v>0</v>
      </c>
      <c r="AK53" s="416">
        <f t="shared" si="11"/>
        <v>0</v>
      </c>
      <c r="AL53" s="668">
        <f t="shared" si="12"/>
        <v>0</v>
      </c>
      <c r="AM53" s="244"/>
      <c r="AN53" s="668">
        <f t="shared" si="13"/>
        <v>0</v>
      </c>
      <c r="AO53" s="668">
        <f t="shared" si="14"/>
        <v>276485</v>
      </c>
      <c r="AP53" s="668">
        <f t="shared" si="15"/>
        <v>0</v>
      </c>
      <c r="AQ53" s="668">
        <f t="shared" si="16"/>
        <v>0</v>
      </c>
      <c r="AR53" s="668">
        <f t="shared" si="17"/>
        <v>0</v>
      </c>
      <c r="AS53" s="668">
        <f t="shared" si="18"/>
        <v>0</v>
      </c>
      <c r="AT53" s="668">
        <f t="shared" si="19"/>
        <v>0</v>
      </c>
      <c r="AU53" s="669"/>
      <c r="AV53" s="668">
        <f t="shared" si="20"/>
        <v>0</v>
      </c>
      <c r="AW53" s="668">
        <f t="shared" si="21"/>
        <v>0</v>
      </c>
      <c r="AX53" s="668">
        <f t="shared" si="22"/>
        <v>0</v>
      </c>
      <c r="AY53" s="668">
        <f t="shared" si="23"/>
        <v>0</v>
      </c>
      <c r="AZ53" s="668">
        <f t="shared" si="24"/>
        <v>0</v>
      </c>
      <c r="BA53" s="668">
        <f t="shared" si="25"/>
        <v>0</v>
      </c>
      <c r="BB53" s="668">
        <f t="shared" si="26"/>
        <v>0</v>
      </c>
      <c r="BC53" s="244"/>
      <c r="BD53" s="668">
        <f t="shared" si="27"/>
        <v>0</v>
      </c>
      <c r="BE53" s="668">
        <f t="shared" si="28"/>
        <v>12750</v>
      </c>
      <c r="BF53" s="668">
        <f t="shared" si="29"/>
        <v>0</v>
      </c>
      <c r="BG53" s="668">
        <f t="shared" si="30"/>
        <v>0</v>
      </c>
      <c r="BH53" s="668">
        <f t="shared" si="31"/>
        <v>0</v>
      </c>
      <c r="BI53" s="668">
        <f t="shared" si="32"/>
        <v>0</v>
      </c>
      <c r="BJ53" s="668">
        <f t="shared" si="33"/>
        <v>0</v>
      </c>
      <c r="BK53" s="669"/>
      <c r="BL53" s="668">
        <f t="shared" si="34"/>
        <v>0</v>
      </c>
      <c r="BM53" s="668">
        <f t="shared" si="35"/>
        <v>13260</v>
      </c>
      <c r="BN53" s="668">
        <f t="shared" si="36"/>
        <v>0</v>
      </c>
      <c r="BO53" s="668">
        <f t="shared" si="37"/>
        <v>0</v>
      </c>
      <c r="BP53" s="668">
        <f t="shared" si="38"/>
        <v>0</v>
      </c>
      <c r="BQ53" s="668">
        <f t="shared" si="39"/>
        <v>0</v>
      </c>
      <c r="BR53" s="668">
        <f t="shared" si="40"/>
        <v>0</v>
      </c>
    </row>
    <row r="54" spans="1:70" s="503" customFormat="1" x14ac:dyDescent="0.25">
      <c r="A54" s="770" t="s">
        <v>121</v>
      </c>
      <c r="B54" s="494" t="str">
        <f>'ADU-20'!$B$7</f>
        <v>bâtiments tertiaires</v>
      </c>
      <c r="C54" s="494" t="str">
        <f>'ADU-20'!$B$8</f>
        <v>Installations photovoltaïques pour les bâtiments tertiaires</v>
      </c>
      <c r="D54" s="494" t="str">
        <f>'ADU-20'!$C$4</f>
        <v>Tertiaire</v>
      </c>
      <c r="E54" s="494" t="str">
        <f>'ADU-20'!$B$11</f>
        <v>Tertiaire</v>
      </c>
      <c r="F54" s="494" t="str">
        <f>'ADU-20'!$B$5</f>
        <v>Prêt bancaire</v>
      </c>
      <c r="G54" s="495">
        <f>'ADU-20'!$B$16</f>
        <v>829455</v>
      </c>
      <c r="H54" s="494" t="str">
        <f>'ADU-20'!$B$6</f>
        <v>Prime RW</v>
      </c>
      <c r="I54" s="495">
        <f>'ADU-20'!$B$17</f>
        <v>0</v>
      </c>
      <c r="J54" s="495">
        <f>'ADU-20'!$B$20</f>
        <v>38250</v>
      </c>
      <c r="K54" s="495">
        <f>'ADU-20'!$B$21</f>
        <v>39780</v>
      </c>
      <c r="L54" s="496">
        <f>'ADU-20'!$B$23</f>
        <v>10.629950019223376</v>
      </c>
      <c r="M54" s="505">
        <f>'ADU-20'!$B$18/1000</f>
        <v>0</v>
      </c>
      <c r="N54" s="498"/>
      <c r="O54" s="499" t="str">
        <f>'ADU-20'!$E$5</f>
        <v>A faire</v>
      </c>
      <c r="P54" s="500">
        <f>'ADU-20'!$B$15</f>
        <v>2020</v>
      </c>
      <c r="Q54" s="501">
        <f t="shared" si="0"/>
        <v>0</v>
      </c>
      <c r="R54" s="501">
        <f t="shared" si="41"/>
        <v>0</v>
      </c>
      <c r="S54" s="501">
        <f t="shared" si="42"/>
        <v>0</v>
      </c>
      <c r="T54" s="501">
        <f t="shared" si="43"/>
        <v>0</v>
      </c>
      <c r="U54" s="501">
        <f t="shared" si="44"/>
        <v>0</v>
      </c>
      <c r="V54" s="501">
        <f t="shared" si="45"/>
        <v>0</v>
      </c>
      <c r="W54" s="501">
        <f t="shared" si="46"/>
        <v>0</v>
      </c>
      <c r="X54" s="501">
        <f t="shared" si="47"/>
        <v>0</v>
      </c>
      <c r="Z54" s="661">
        <f t="shared" si="1"/>
        <v>0</v>
      </c>
      <c r="AA54" s="661">
        <f t="shared" si="2"/>
        <v>0</v>
      </c>
      <c r="AB54" s="661">
        <f t="shared" si="3"/>
        <v>0</v>
      </c>
      <c r="AC54" s="661">
        <f t="shared" si="4"/>
        <v>0</v>
      </c>
      <c r="AD54" s="416">
        <f t="shared" si="5"/>
        <v>0</v>
      </c>
      <c r="AE54" s="661">
        <f t="shared" si="6"/>
        <v>829455</v>
      </c>
      <c r="AF54" s="662"/>
      <c r="AG54" s="661">
        <f t="shared" si="7"/>
        <v>0</v>
      </c>
      <c r="AH54" s="661">
        <f t="shared" si="8"/>
        <v>0</v>
      </c>
      <c r="AI54" s="661">
        <f t="shared" si="9"/>
        <v>0</v>
      </c>
      <c r="AJ54" s="661">
        <f t="shared" si="10"/>
        <v>0</v>
      </c>
      <c r="AK54" s="416">
        <f t="shared" si="11"/>
        <v>0</v>
      </c>
      <c r="AL54" s="661">
        <f t="shared" si="12"/>
        <v>0</v>
      </c>
      <c r="AM54" s="244"/>
      <c r="AN54" s="661">
        <f t="shared" si="13"/>
        <v>0</v>
      </c>
      <c r="AO54" s="661">
        <f t="shared" si="14"/>
        <v>0</v>
      </c>
      <c r="AP54" s="661">
        <f t="shared" si="15"/>
        <v>0</v>
      </c>
      <c r="AQ54" s="661">
        <f t="shared" si="16"/>
        <v>0</v>
      </c>
      <c r="AR54" s="661">
        <f t="shared" si="17"/>
        <v>829455</v>
      </c>
      <c r="AS54" s="661">
        <f t="shared" si="18"/>
        <v>0</v>
      </c>
      <c r="AT54" s="661">
        <f t="shared" si="19"/>
        <v>0</v>
      </c>
      <c r="AU54" s="662"/>
      <c r="AV54" s="661">
        <f t="shared" si="20"/>
        <v>0</v>
      </c>
      <c r="AW54" s="661">
        <f t="shared" si="21"/>
        <v>0</v>
      </c>
      <c r="AX54" s="661">
        <f t="shared" si="22"/>
        <v>0</v>
      </c>
      <c r="AY54" s="661">
        <f t="shared" si="23"/>
        <v>0</v>
      </c>
      <c r="AZ54" s="661">
        <f t="shared" si="24"/>
        <v>0</v>
      </c>
      <c r="BA54" s="661">
        <f t="shared" si="25"/>
        <v>0</v>
      </c>
      <c r="BB54" s="661">
        <f t="shared" si="26"/>
        <v>0</v>
      </c>
      <c r="BC54" s="244"/>
      <c r="BD54" s="661">
        <f t="shared" si="27"/>
        <v>0</v>
      </c>
      <c r="BE54" s="661">
        <f t="shared" si="28"/>
        <v>0</v>
      </c>
      <c r="BF54" s="661">
        <f t="shared" si="29"/>
        <v>0</v>
      </c>
      <c r="BG54" s="661">
        <f t="shared" si="30"/>
        <v>0</v>
      </c>
      <c r="BH54" s="661">
        <f t="shared" si="31"/>
        <v>2</v>
      </c>
      <c r="BI54" s="661">
        <f t="shared" si="32"/>
        <v>0</v>
      </c>
      <c r="BJ54" s="661">
        <f t="shared" si="33"/>
        <v>0</v>
      </c>
      <c r="BK54" s="662"/>
      <c r="BL54" s="661">
        <f t="shared" si="34"/>
        <v>0</v>
      </c>
      <c r="BM54" s="661">
        <f t="shared" si="35"/>
        <v>0</v>
      </c>
      <c r="BN54" s="661">
        <f t="shared" si="36"/>
        <v>0</v>
      </c>
      <c r="BO54" s="661">
        <f t="shared" si="37"/>
        <v>0</v>
      </c>
      <c r="BP54" s="661">
        <f t="shared" si="38"/>
        <v>39780</v>
      </c>
      <c r="BQ54" s="661">
        <f t="shared" si="39"/>
        <v>0</v>
      </c>
      <c r="BR54" s="661">
        <f t="shared" si="40"/>
        <v>0</v>
      </c>
    </row>
    <row r="55" spans="1:70" s="503" customFormat="1" x14ac:dyDescent="0.25">
      <c r="A55" s="770" t="s">
        <v>122</v>
      </c>
      <c r="B55" s="494" t="str">
        <f>'ADU-21'!$B$7</f>
        <v>Industrie</v>
      </c>
      <c r="C55" s="494" t="str">
        <f>'ADU-21'!$B$8</f>
        <v>Installation d'une de 1 éoliennes de 10 kW</v>
      </c>
      <c r="D55" s="494" t="str">
        <f>'ADU-21'!$C$4</f>
        <v>Industrie</v>
      </c>
      <c r="E55" s="494" t="str">
        <f>'ADU-21'!$B$11</f>
        <v>Industrie</v>
      </c>
      <c r="F55" s="494" t="str">
        <f>'ADU-21'!$B$5</f>
        <v>1/3 invest</v>
      </c>
      <c r="G55" s="495">
        <f>'ADU-21'!$B$16</f>
        <v>195000</v>
      </c>
      <c r="H55" s="494" t="str">
        <f>'ADU-21'!$B$6</f>
        <v>Subs RW</v>
      </c>
      <c r="I55" s="495">
        <f>'ADU-21'!$B$17</f>
        <v>39000</v>
      </c>
      <c r="J55" s="495">
        <f>'ADU-21'!$B$20</f>
        <v>3559.1880000000001</v>
      </c>
      <c r="K55" s="495">
        <f>'ADU-21'!$B$21</f>
        <v>1360.866</v>
      </c>
      <c r="L55" s="496">
        <f>'ADU-21'!$B$23</f>
        <v>31.70696906985167</v>
      </c>
      <c r="M55" s="505">
        <f>'ADU-21'!$B$18/1000</f>
        <v>0</v>
      </c>
      <c r="N55" s="498"/>
      <c r="O55" s="499" t="str">
        <f>'ADU-21'!$E$5</f>
        <v>Terminé</v>
      </c>
      <c r="P55" s="500">
        <f>'ADU-21'!$B$15</f>
        <v>2020</v>
      </c>
      <c r="Q55" s="501">
        <f t="shared" si="0"/>
        <v>0</v>
      </c>
      <c r="R55" s="501">
        <f t="shared" si="41"/>
        <v>0</v>
      </c>
      <c r="S55" s="501">
        <f t="shared" si="42"/>
        <v>0</v>
      </c>
      <c r="T55" s="501">
        <f t="shared" si="43"/>
        <v>0</v>
      </c>
      <c r="U55" s="501">
        <f t="shared" si="44"/>
        <v>0</v>
      </c>
      <c r="V55" s="501">
        <f t="shared" si="45"/>
        <v>0</v>
      </c>
      <c r="W55" s="501">
        <f t="shared" si="46"/>
        <v>0</v>
      </c>
      <c r="X55" s="501">
        <f t="shared" si="47"/>
        <v>0</v>
      </c>
      <c r="Z55" s="661">
        <f t="shared" si="1"/>
        <v>0</v>
      </c>
      <c r="AA55" s="661">
        <f t="shared" si="2"/>
        <v>0</v>
      </c>
      <c r="AB55" s="661">
        <f t="shared" si="3"/>
        <v>0</v>
      </c>
      <c r="AC55" s="661">
        <f t="shared" si="4"/>
        <v>0</v>
      </c>
      <c r="AD55" s="416">
        <f t="shared" si="5"/>
        <v>0</v>
      </c>
      <c r="AE55" s="661">
        <f t="shared" si="6"/>
        <v>0</v>
      </c>
      <c r="AF55" s="662"/>
      <c r="AG55" s="661">
        <f t="shared" si="7"/>
        <v>0</v>
      </c>
      <c r="AH55" s="661">
        <f t="shared" si="8"/>
        <v>0</v>
      </c>
      <c r="AI55" s="661">
        <f t="shared" si="9"/>
        <v>0</v>
      </c>
      <c r="AJ55" s="661">
        <f t="shared" si="10"/>
        <v>0</v>
      </c>
      <c r="AK55" s="416">
        <f t="shared" si="11"/>
        <v>0</v>
      </c>
      <c r="AL55" s="661">
        <f t="shared" si="12"/>
        <v>0</v>
      </c>
      <c r="AM55" s="244"/>
      <c r="AN55" s="661">
        <f t="shared" si="13"/>
        <v>0</v>
      </c>
      <c r="AO55" s="661">
        <f t="shared" si="14"/>
        <v>0</v>
      </c>
      <c r="AP55" s="661">
        <f t="shared" si="15"/>
        <v>0</v>
      </c>
      <c r="AQ55" s="661">
        <f t="shared" si="16"/>
        <v>0</v>
      </c>
      <c r="AR55" s="661">
        <f t="shared" si="17"/>
        <v>0</v>
      </c>
      <c r="AS55" s="661">
        <f t="shared" si="18"/>
        <v>0</v>
      </c>
      <c r="AT55" s="661">
        <f t="shared" si="19"/>
        <v>0</v>
      </c>
      <c r="AU55" s="662"/>
      <c r="AV55" s="661">
        <f t="shared" si="20"/>
        <v>0</v>
      </c>
      <c r="AW55" s="661">
        <f t="shared" si="21"/>
        <v>0</v>
      </c>
      <c r="AX55" s="661">
        <f t="shared" si="22"/>
        <v>0</v>
      </c>
      <c r="AY55" s="661">
        <f t="shared" si="23"/>
        <v>0</v>
      </c>
      <c r="AZ55" s="661">
        <f t="shared" si="24"/>
        <v>0</v>
      </c>
      <c r="BA55" s="661">
        <f t="shared" si="25"/>
        <v>0</v>
      </c>
      <c r="BB55" s="661">
        <f t="shared" si="26"/>
        <v>0</v>
      </c>
      <c r="BC55" s="244"/>
      <c r="BD55" s="661">
        <f t="shared" si="27"/>
        <v>0</v>
      </c>
      <c r="BE55" s="661">
        <f t="shared" si="28"/>
        <v>0</v>
      </c>
      <c r="BF55" s="661">
        <f t="shared" si="29"/>
        <v>0</v>
      </c>
      <c r="BG55" s="661">
        <f t="shared" si="30"/>
        <v>0</v>
      </c>
      <c r="BH55" s="661">
        <f t="shared" si="31"/>
        <v>0</v>
      </c>
      <c r="BI55" s="661">
        <f t="shared" si="32"/>
        <v>0</v>
      </c>
      <c r="BJ55" s="661">
        <f t="shared" si="33"/>
        <v>0</v>
      </c>
      <c r="BK55" s="662"/>
      <c r="BL55" s="661">
        <f t="shared" si="34"/>
        <v>0</v>
      </c>
      <c r="BM55" s="661">
        <f t="shared" si="35"/>
        <v>0</v>
      </c>
      <c r="BN55" s="661">
        <f t="shared" si="36"/>
        <v>0</v>
      </c>
      <c r="BO55" s="661">
        <f t="shared" si="37"/>
        <v>0</v>
      </c>
      <c r="BP55" s="661">
        <f t="shared" si="38"/>
        <v>0</v>
      </c>
      <c r="BQ55" s="661">
        <f t="shared" si="39"/>
        <v>0</v>
      </c>
      <c r="BR55" s="661">
        <f t="shared" si="40"/>
        <v>0</v>
      </c>
    </row>
    <row r="56" spans="1:70" s="477" customFormat="1" x14ac:dyDescent="0.25">
      <c r="A56" s="769" t="s">
        <v>123</v>
      </c>
      <c r="B56" s="468" t="str">
        <f>'ADU-22'!$B$7</f>
        <v>Solaire thermique</v>
      </c>
      <c r="C56" s="468" t="str">
        <f>'ADU-22'!$B$8</f>
        <v xml:space="preserve">Installation solaires thermiques </v>
      </c>
      <c r="D56" s="468" t="str">
        <f>'ADU-22'!$C$4</f>
        <v>Logement</v>
      </c>
      <c r="E56" s="468" t="str">
        <f>'ADU-22'!$B$11</f>
        <v>Citoyen</v>
      </c>
      <c r="F56" s="468" t="str">
        <f>'ADU-22'!$B$5</f>
        <v>ECOPACK</v>
      </c>
      <c r="G56" s="469">
        <f>'ADU-22'!$B$16</f>
        <v>450000</v>
      </c>
      <c r="H56" s="468" t="str">
        <f>'ADU-22'!$B$6</f>
        <v>Prime RW</v>
      </c>
      <c r="I56" s="469">
        <f>'ADU-22'!$B$17</f>
        <v>200000</v>
      </c>
      <c r="J56" s="469">
        <f>'ADU-22'!$B$20</f>
        <v>22549.200000000001</v>
      </c>
      <c r="K56" s="469">
        <f>'ADU-22'!$B$21</f>
        <v>0</v>
      </c>
      <c r="L56" s="470">
        <f>'ADU-22'!$B$23</f>
        <v>11.086867826796516</v>
      </c>
      <c r="M56" s="479">
        <f>'ADU-22'!$B$18/1000</f>
        <v>262.2</v>
      </c>
      <c r="N56" s="472"/>
      <c r="O56" s="473" t="str">
        <f>'ADU-22'!$E$5</f>
        <v>A faire</v>
      </c>
      <c r="P56" s="474">
        <f>'ADU-22'!$B$15</f>
        <v>2020</v>
      </c>
      <c r="Q56" s="475">
        <f t="shared" si="0"/>
        <v>0</v>
      </c>
      <c r="R56" s="475">
        <f t="shared" si="41"/>
        <v>0</v>
      </c>
      <c r="S56" s="475">
        <f t="shared" si="42"/>
        <v>0</v>
      </c>
      <c r="T56" s="475">
        <f t="shared" si="43"/>
        <v>0</v>
      </c>
      <c r="U56" s="475">
        <f t="shared" si="44"/>
        <v>0</v>
      </c>
      <c r="V56" s="475">
        <f t="shared" si="45"/>
        <v>0</v>
      </c>
      <c r="W56" s="475">
        <f t="shared" si="46"/>
        <v>0</v>
      </c>
      <c r="X56" s="475">
        <f t="shared" si="47"/>
        <v>0</v>
      </c>
      <c r="Z56" s="661">
        <f t="shared" si="1"/>
        <v>0</v>
      </c>
      <c r="AA56" s="661">
        <f t="shared" si="2"/>
        <v>0</v>
      </c>
      <c r="AB56" s="661">
        <f t="shared" si="3"/>
        <v>450000</v>
      </c>
      <c r="AC56" s="661">
        <f t="shared" si="4"/>
        <v>0</v>
      </c>
      <c r="AD56" s="416">
        <f t="shared" si="5"/>
        <v>0</v>
      </c>
      <c r="AE56" s="661">
        <f t="shared" si="6"/>
        <v>0</v>
      </c>
      <c r="AF56" s="662"/>
      <c r="AG56" s="661">
        <f t="shared" si="7"/>
        <v>0</v>
      </c>
      <c r="AH56" s="661">
        <f t="shared" si="8"/>
        <v>0</v>
      </c>
      <c r="AI56" s="661">
        <f t="shared" si="9"/>
        <v>200000</v>
      </c>
      <c r="AJ56" s="661">
        <f t="shared" si="10"/>
        <v>0</v>
      </c>
      <c r="AK56" s="416">
        <f t="shared" si="11"/>
        <v>0</v>
      </c>
      <c r="AL56" s="661">
        <f t="shared" si="12"/>
        <v>0</v>
      </c>
      <c r="AM56" s="244"/>
      <c r="AN56" s="661">
        <f t="shared" si="13"/>
        <v>0</v>
      </c>
      <c r="AO56" s="661">
        <f t="shared" si="14"/>
        <v>0</v>
      </c>
      <c r="AP56" s="661">
        <f t="shared" si="15"/>
        <v>0</v>
      </c>
      <c r="AQ56" s="661">
        <f t="shared" si="16"/>
        <v>450000</v>
      </c>
      <c r="AR56" s="661">
        <f t="shared" si="17"/>
        <v>0</v>
      </c>
      <c r="AS56" s="661">
        <f t="shared" si="18"/>
        <v>0</v>
      </c>
      <c r="AT56" s="661">
        <f t="shared" si="19"/>
        <v>0</v>
      </c>
      <c r="AU56" s="662"/>
      <c r="AV56" s="661">
        <f t="shared" si="20"/>
        <v>0</v>
      </c>
      <c r="AW56" s="661">
        <f t="shared" si="21"/>
        <v>0</v>
      </c>
      <c r="AX56" s="661">
        <f t="shared" si="22"/>
        <v>0</v>
      </c>
      <c r="AY56" s="661">
        <f t="shared" si="23"/>
        <v>200000</v>
      </c>
      <c r="AZ56" s="661">
        <f t="shared" si="24"/>
        <v>0</v>
      </c>
      <c r="BA56" s="661">
        <f t="shared" si="25"/>
        <v>0</v>
      </c>
      <c r="BB56" s="661">
        <f t="shared" si="26"/>
        <v>0</v>
      </c>
      <c r="BC56" s="244"/>
      <c r="BD56" s="661">
        <f t="shared" si="27"/>
        <v>0</v>
      </c>
      <c r="BE56" s="661">
        <f t="shared" si="28"/>
        <v>0</v>
      </c>
      <c r="BF56" s="661">
        <f t="shared" si="29"/>
        <v>0</v>
      </c>
      <c r="BG56" s="661">
        <f t="shared" si="30"/>
        <v>22549.200000000001</v>
      </c>
      <c r="BH56" s="661">
        <f t="shared" si="31"/>
        <v>0</v>
      </c>
      <c r="BI56" s="661">
        <f t="shared" si="32"/>
        <v>0</v>
      </c>
      <c r="BJ56" s="661">
        <f t="shared" si="33"/>
        <v>0</v>
      </c>
      <c r="BK56" s="662"/>
      <c r="BL56" s="661">
        <f t="shared" si="34"/>
        <v>0</v>
      </c>
      <c r="BM56" s="661">
        <f t="shared" si="35"/>
        <v>0</v>
      </c>
      <c r="BN56" s="661">
        <f t="shared" si="36"/>
        <v>0</v>
      </c>
      <c r="BO56" s="661">
        <f t="shared" si="37"/>
        <v>0</v>
      </c>
      <c r="BP56" s="661">
        <f t="shared" si="38"/>
        <v>0</v>
      </c>
      <c r="BQ56" s="661">
        <f t="shared" si="39"/>
        <v>0</v>
      </c>
      <c r="BR56" s="661">
        <f t="shared" si="40"/>
        <v>0</v>
      </c>
    </row>
    <row r="57" spans="1:70" s="464" customFormat="1" x14ac:dyDescent="0.25">
      <c r="A57" s="776" t="s">
        <v>124</v>
      </c>
      <c r="B57" s="456" t="str">
        <f>'ADU-23'!$B$7</f>
        <v>Agriculteurs</v>
      </c>
      <c r="C57" s="456" t="str">
        <f>'ADU-23'!$B$8</f>
        <v xml:space="preserve">Installation d'une centrale de production de biogaz </v>
      </c>
      <c r="D57" s="456" t="str">
        <f>'ADU-23'!$C$4</f>
        <v>Agriculture</v>
      </c>
      <c r="E57" s="456" t="str">
        <f>'ADU-23'!$B$11</f>
        <v>Agriculture</v>
      </c>
      <c r="F57" s="456" t="str">
        <f>'ADU-23'!$B$5</f>
        <v>Montage</v>
      </c>
      <c r="G57" s="457">
        <f>'ADU-23'!$B$16</f>
        <v>15000000</v>
      </c>
      <c r="H57" s="456" t="str">
        <f>'ADU-23'!$B$6</f>
        <v>Subs EU</v>
      </c>
      <c r="I57" s="457">
        <f>'ADU-23'!$B$17</f>
        <v>7500000</v>
      </c>
      <c r="J57" s="457">
        <f>'ADU-23'!$B$20</f>
        <v>186328.584</v>
      </c>
      <c r="K57" s="457">
        <f>'ADU-23'!$B$21</f>
        <v>197730</v>
      </c>
      <c r="L57" s="458">
        <f>'ADU-23'!$B$23</f>
        <v>19.528270718198552</v>
      </c>
      <c r="M57" s="466">
        <f>'ADU-23'!$B$18/1000</f>
        <v>3042</v>
      </c>
      <c r="N57" s="460"/>
      <c r="O57" s="461" t="str">
        <f>'ADU-23'!$E$5</f>
        <v>Ne pas réaliser</v>
      </c>
      <c r="P57" s="462">
        <f>'ADU-23'!$B$15</f>
        <v>2020</v>
      </c>
      <c r="Q57" s="463">
        <f t="shared" si="0"/>
        <v>0</v>
      </c>
      <c r="R57" s="463">
        <f t="shared" si="41"/>
        <v>0</v>
      </c>
      <c r="S57" s="463">
        <f t="shared" si="42"/>
        <v>0</v>
      </c>
      <c r="T57" s="463">
        <f t="shared" si="43"/>
        <v>0</v>
      </c>
      <c r="U57" s="463">
        <f t="shared" si="44"/>
        <v>0</v>
      </c>
      <c r="V57" s="463">
        <f t="shared" si="45"/>
        <v>0</v>
      </c>
      <c r="W57" s="463">
        <f t="shared" si="46"/>
        <v>0</v>
      </c>
      <c r="X57" s="463">
        <f t="shared" si="47"/>
        <v>0</v>
      </c>
      <c r="Z57" s="661">
        <f t="shared" si="1"/>
        <v>0</v>
      </c>
      <c r="AA57" s="661">
        <f t="shared" si="2"/>
        <v>0</v>
      </c>
      <c r="AB57" s="661">
        <f t="shared" si="3"/>
        <v>0</v>
      </c>
      <c r="AC57" s="661">
        <f t="shared" si="4"/>
        <v>0</v>
      </c>
      <c r="AD57" s="416">
        <f t="shared" si="5"/>
        <v>0</v>
      </c>
      <c r="AE57" s="661">
        <f t="shared" si="6"/>
        <v>0</v>
      </c>
      <c r="AF57" s="662"/>
      <c r="AG57" s="661">
        <f t="shared" si="7"/>
        <v>0</v>
      </c>
      <c r="AH57" s="661">
        <f t="shared" si="8"/>
        <v>0</v>
      </c>
      <c r="AI57" s="661">
        <f t="shared" si="9"/>
        <v>0</v>
      </c>
      <c r="AJ57" s="661">
        <f t="shared" si="10"/>
        <v>0</v>
      </c>
      <c r="AK57" s="416">
        <f t="shared" si="11"/>
        <v>0</v>
      </c>
      <c r="AL57" s="661">
        <f t="shared" si="12"/>
        <v>0</v>
      </c>
      <c r="AM57" s="244"/>
      <c r="AN57" s="661">
        <f t="shared" si="13"/>
        <v>0</v>
      </c>
      <c r="AO57" s="661">
        <f t="shared" si="14"/>
        <v>0</v>
      </c>
      <c r="AP57" s="661">
        <f t="shared" si="15"/>
        <v>0</v>
      </c>
      <c r="AQ57" s="661">
        <f t="shared" si="16"/>
        <v>0</v>
      </c>
      <c r="AR57" s="661">
        <f t="shared" si="17"/>
        <v>0</v>
      </c>
      <c r="AS57" s="661">
        <f t="shared" si="18"/>
        <v>0</v>
      </c>
      <c r="AT57" s="661">
        <f t="shared" si="19"/>
        <v>0</v>
      </c>
      <c r="AU57" s="662"/>
      <c r="AV57" s="661">
        <f t="shared" si="20"/>
        <v>0</v>
      </c>
      <c r="AW57" s="661">
        <f t="shared" si="21"/>
        <v>0</v>
      </c>
      <c r="AX57" s="661">
        <f t="shared" si="22"/>
        <v>0</v>
      </c>
      <c r="AY57" s="661">
        <f t="shared" si="23"/>
        <v>0</v>
      </c>
      <c r="AZ57" s="661">
        <f t="shared" si="24"/>
        <v>0</v>
      </c>
      <c r="BA57" s="661">
        <f t="shared" si="25"/>
        <v>0</v>
      </c>
      <c r="BB57" s="661">
        <f t="shared" si="26"/>
        <v>0</v>
      </c>
      <c r="BC57" s="244"/>
      <c r="BD57" s="661">
        <f t="shared" si="27"/>
        <v>0</v>
      </c>
      <c r="BE57" s="661">
        <f t="shared" si="28"/>
        <v>0</v>
      </c>
      <c r="BF57" s="661">
        <f t="shared" si="29"/>
        <v>0</v>
      </c>
      <c r="BG57" s="661">
        <f t="shared" si="30"/>
        <v>0</v>
      </c>
      <c r="BH57" s="661">
        <f t="shared" si="31"/>
        <v>0</v>
      </c>
      <c r="BI57" s="661">
        <f t="shared" si="32"/>
        <v>0</v>
      </c>
      <c r="BJ57" s="661">
        <f t="shared" si="33"/>
        <v>0</v>
      </c>
      <c r="BK57" s="662"/>
      <c r="BL57" s="661">
        <f t="shared" si="34"/>
        <v>0</v>
      </c>
      <c r="BM57" s="661">
        <f t="shared" si="35"/>
        <v>0</v>
      </c>
      <c r="BN57" s="661">
        <f t="shared" si="36"/>
        <v>0</v>
      </c>
      <c r="BO57" s="661">
        <f t="shared" si="37"/>
        <v>0</v>
      </c>
      <c r="BP57" s="661">
        <f t="shared" si="38"/>
        <v>0</v>
      </c>
      <c r="BQ57" s="661">
        <f t="shared" si="39"/>
        <v>0</v>
      </c>
      <c r="BR57" s="661">
        <f t="shared" si="40"/>
        <v>0</v>
      </c>
    </row>
    <row r="58" spans="1:70" s="464" customFormat="1" x14ac:dyDescent="0.25">
      <c r="A58" s="776" t="s">
        <v>129</v>
      </c>
      <c r="B58" s="456" t="str">
        <f>'ADU-24'!$B$7</f>
        <v>Biogaz sur cultures dédiées</v>
      </c>
      <c r="C58" s="456" t="str">
        <f>'ADU-24'!$B$8</f>
        <v>Biogaz sur cultures dédiées</v>
      </c>
      <c r="D58" s="456" t="str">
        <f>'ADU-24'!$C$4</f>
        <v>Agriculture</v>
      </c>
      <c r="E58" s="456">
        <f>'ADU-24'!$B$14</f>
        <v>2014</v>
      </c>
      <c r="F58" s="456" t="str">
        <f>'ADU-24'!$B$5</f>
        <v>Montage</v>
      </c>
      <c r="G58" s="457">
        <f>'ADU-24'!$B$16</f>
        <v>15000000</v>
      </c>
      <c r="H58" s="456" t="str">
        <f>'ADU-24'!$B$6</f>
        <v>Subs EU</v>
      </c>
      <c r="I58" s="457">
        <f>'ADU-24'!$B$17</f>
        <v>7500000</v>
      </c>
      <c r="J58" s="457">
        <f>'ADU-24'!$B$20</f>
        <v>230426.34888000001</v>
      </c>
      <c r="K58" s="457">
        <f>'ADU-24'!$B$21</f>
        <v>244526.1</v>
      </c>
      <c r="L58" s="458">
        <f>'ADU-24'!$B$23</f>
        <v>15.791054489109342</v>
      </c>
      <c r="M58" s="466">
        <f>'ADU-24'!$B$18/1000</f>
        <v>3761.94</v>
      </c>
      <c r="N58" s="460"/>
      <c r="O58" s="461" t="str">
        <f>'ADU-24'!$E$5</f>
        <v>Ne pas réaliser</v>
      </c>
      <c r="P58" s="462">
        <f>'ADU-24'!$B$18</f>
        <v>3761940</v>
      </c>
      <c r="Q58" s="463">
        <f t="shared" si="0"/>
        <v>0</v>
      </c>
      <c r="R58" s="463">
        <f t="shared" si="41"/>
        <v>0</v>
      </c>
      <c r="S58" s="463">
        <f t="shared" si="42"/>
        <v>0</v>
      </c>
      <c r="T58" s="463">
        <f t="shared" si="43"/>
        <v>0</v>
      </c>
      <c r="U58" s="463">
        <f t="shared" si="44"/>
        <v>0</v>
      </c>
      <c r="V58" s="463">
        <f t="shared" si="45"/>
        <v>0</v>
      </c>
      <c r="W58" s="463">
        <f t="shared" si="46"/>
        <v>0</v>
      </c>
      <c r="X58" s="463">
        <f t="shared" si="47"/>
        <v>0</v>
      </c>
      <c r="Z58" s="416">
        <f t="shared" si="1"/>
        <v>0</v>
      </c>
      <c r="AA58" s="416">
        <f t="shared" si="2"/>
        <v>0</v>
      </c>
      <c r="AB58" s="416">
        <f t="shared" si="3"/>
        <v>0</v>
      </c>
      <c r="AC58" s="416">
        <f t="shared" si="4"/>
        <v>0</v>
      </c>
      <c r="AD58" s="416">
        <f t="shared" si="5"/>
        <v>0</v>
      </c>
      <c r="AE58" s="416">
        <f t="shared" si="6"/>
        <v>0</v>
      </c>
      <c r="AF58" s="417"/>
      <c r="AG58" s="416">
        <f t="shared" si="7"/>
        <v>0</v>
      </c>
      <c r="AH58" s="416">
        <f t="shared" si="8"/>
        <v>0</v>
      </c>
      <c r="AI58" s="416">
        <f t="shared" si="9"/>
        <v>0</v>
      </c>
      <c r="AJ58" s="416">
        <f t="shared" si="10"/>
        <v>0</v>
      </c>
      <c r="AK58" s="416">
        <f t="shared" si="11"/>
        <v>0</v>
      </c>
      <c r="AL58" s="416">
        <f t="shared" si="12"/>
        <v>0</v>
      </c>
      <c r="AM58" s="244"/>
      <c r="AN58" s="416">
        <f t="shared" si="13"/>
        <v>0</v>
      </c>
      <c r="AO58" s="416">
        <f t="shared" si="14"/>
        <v>0</v>
      </c>
      <c r="AP58" s="416">
        <f t="shared" si="15"/>
        <v>0</v>
      </c>
      <c r="AQ58" s="416">
        <f t="shared" si="16"/>
        <v>0</v>
      </c>
      <c r="AR58" s="416">
        <f t="shared" si="17"/>
        <v>0</v>
      </c>
      <c r="AS58" s="416">
        <f t="shared" si="18"/>
        <v>0</v>
      </c>
      <c r="AT58" s="416">
        <f t="shared" si="19"/>
        <v>0</v>
      </c>
      <c r="AU58" s="417"/>
      <c r="AV58" s="416">
        <f t="shared" si="20"/>
        <v>0</v>
      </c>
      <c r="AW58" s="416">
        <f t="shared" si="21"/>
        <v>0</v>
      </c>
      <c r="AX58" s="416">
        <f t="shared" si="22"/>
        <v>0</v>
      </c>
      <c r="AY58" s="416">
        <f t="shared" si="23"/>
        <v>0</v>
      </c>
      <c r="AZ58" s="416">
        <f t="shared" si="24"/>
        <v>0</v>
      </c>
      <c r="BA58" s="416">
        <f t="shared" si="25"/>
        <v>0</v>
      </c>
      <c r="BB58" s="416">
        <f t="shared" si="26"/>
        <v>0</v>
      </c>
      <c r="BC58" s="244"/>
      <c r="BD58" s="416">
        <f t="shared" si="27"/>
        <v>0</v>
      </c>
      <c r="BE58" s="416">
        <f t="shared" si="28"/>
        <v>0</v>
      </c>
      <c r="BF58" s="416">
        <f t="shared" si="29"/>
        <v>0</v>
      </c>
      <c r="BG58" s="416">
        <f t="shared" si="30"/>
        <v>0</v>
      </c>
      <c r="BH58" s="416">
        <f t="shared" si="31"/>
        <v>0</v>
      </c>
      <c r="BI58" s="416">
        <f t="shared" si="32"/>
        <v>0</v>
      </c>
      <c r="BJ58" s="416">
        <f t="shared" si="33"/>
        <v>0</v>
      </c>
      <c r="BK58" s="417"/>
      <c r="BL58" s="416">
        <f t="shared" si="34"/>
        <v>0</v>
      </c>
      <c r="BM58" s="416">
        <f t="shared" si="35"/>
        <v>0</v>
      </c>
      <c r="BN58" s="416">
        <f t="shared" si="36"/>
        <v>0</v>
      </c>
      <c r="BO58" s="416">
        <f t="shared" si="37"/>
        <v>0</v>
      </c>
      <c r="BP58" s="416">
        <f t="shared" si="38"/>
        <v>0</v>
      </c>
      <c r="BQ58" s="416">
        <f t="shared" si="39"/>
        <v>0</v>
      </c>
      <c r="BR58" s="416">
        <f t="shared" si="40"/>
        <v>0</v>
      </c>
    </row>
    <row r="59" spans="1:70" s="516" customFormat="1" x14ac:dyDescent="0.25">
      <c r="A59" s="772" t="s">
        <v>130</v>
      </c>
      <c r="B59" s="508" t="str">
        <f>'ADU-25'!$B$7</f>
        <v>Agriculteurs</v>
      </c>
      <c r="C59" s="508" t="str">
        <f>'ADU-25'!$B$8</f>
        <v>Diagnostics énergétiques d'exploitations agricoles</v>
      </c>
      <c r="D59" s="508" t="str">
        <f>'ADU-25'!$C$4</f>
        <v>Agriculture</v>
      </c>
      <c r="E59" s="508" t="str">
        <f>'ADU-25'!$B$11</f>
        <v>Agriculture</v>
      </c>
      <c r="F59" s="508" t="str">
        <f>'ADU-25'!$B$5</f>
        <v>Fonds propres</v>
      </c>
      <c r="G59" s="551">
        <f>'ADU-25'!$B$16</f>
        <v>50000</v>
      </c>
      <c r="H59" s="508" t="str">
        <f>'ADU-25'!$B$6</f>
        <v>Pas de subside</v>
      </c>
      <c r="I59" s="551">
        <f>'ADU-25'!$B$17</f>
        <v>10000</v>
      </c>
      <c r="J59" s="551">
        <f>'ADU-25'!$B$20</f>
        <v>8726.4</v>
      </c>
      <c r="K59" s="551">
        <f>'ADU-25'!$B$21</f>
        <v>0</v>
      </c>
      <c r="L59" s="552">
        <f>'ADU-25'!$B$23</f>
        <v>4.5837917125045839</v>
      </c>
      <c r="M59" s="558">
        <f>'ADU-25'!$B$18/1000</f>
        <v>36.36</v>
      </c>
      <c r="N59" s="554"/>
      <c r="O59" s="555" t="str">
        <f>'ADU-25'!$E$5</f>
        <v>A faire</v>
      </c>
      <c r="P59" s="513">
        <f>'ADU-25'!$B$15</f>
        <v>2019</v>
      </c>
      <c r="Q59" s="514">
        <f>IF(O59="Terminé",M59,0)</f>
        <v>0</v>
      </c>
      <c r="R59" s="514">
        <f t="shared" si="41"/>
        <v>0</v>
      </c>
      <c r="S59" s="514">
        <f t="shared" si="42"/>
        <v>0</v>
      </c>
      <c r="T59" s="514">
        <f t="shared" si="43"/>
        <v>0</v>
      </c>
      <c r="U59" s="514">
        <f t="shared" si="44"/>
        <v>0</v>
      </c>
      <c r="V59" s="514">
        <f t="shared" si="45"/>
        <v>0</v>
      </c>
      <c r="W59" s="514">
        <f t="shared" si="46"/>
        <v>0</v>
      </c>
      <c r="X59" s="514">
        <f t="shared" si="47"/>
        <v>0</v>
      </c>
      <c r="Z59" s="661">
        <f>IF((O59="A faire")*AND(E59="Agriculture"),G59,0)</f>
        <v>50000</v>
      </c>
      <c r="AA59" s="661">
        <f>IF((O59="A faire")*AND(E59="Industrie"),G59,0)</f>
        <v>0</v>
      </c>
      <c r="AB59" s="661">
        <f>IF((O59="A faire")*AND(E59="Citoyen"),G59,0)</f>
        <v>0</v>
      </c>
      <c r="AC59" s="661">
        <f>IF((O59="A faire")*AND(E59="IDELUX"),G59,0)</f>
        <v>0</v>
      </c>
      <c r="AD59" s="416">
        <f t="shared" si="5"/>
        <v>0</v>
      </c>
      <c r="AE59" s="661">
        <f>IF((O59="A faire")*AND(E59="Tertiaire"),G59,0)</f>
        <v>0</v>
      </c>
      <c r="AF59" s="662"/>
      <c r="AG59" s="661">
        <f>IF((O59="A faire")*AND(E59="Agriculture"),I59,0)</f>
        <v>10000</v>
      </c>
      <c r="AH59" s="661">
        <f>IF((O59="A faire")*AND(E59="Industrie"),I59,0)</f>
        <v>0</v>
      </c>
      <c r="AI59" s="661">
        <f>IF((O59="A faire")*AND(E59="Citoyen"),I59,0)</f>
        <v>0</v>
      </c>
      <c r="AJ59" s="661">
        <f>IF((O59="A faire")*AND(E59="IDELUX"),I59,0)</f>
        <v>0</v>
      </c>
      <c r="AK59" s="416">
        <f t="shared" si="11"/>
        <v>0</v>
      </c>
      <c r="AL59" s="661">
        <f>IF((O59="A faire")*AND(E59="Tertiaire"),I59,0)</f>
        <v>0</v>
      </c>
      <c r="AM59" s="244"/>
      <c r="AN59" s="661">
        <f>IF((O59="A faire")*AND(D59="Territoire"),G59,0)</f>
        <v>0</v>
      </c>
      <c r="AO59" s="661">
        <f>IF((O59="A faire")*AND(D59="Agriculture"),G59,0)</f>
        <v>50000</v>
      </c>
      <c r="AP59" s="661">
        <f>IF((O59="A faire")*AND(D59="Industrie"),G59,0)</f>
        <v>0</v>
      </c>
      <c r="AQ59" s="661">
        <f>IF((O59="A faire")*AND(D59="Logement"),G59,0)</f>
        <v>0</v>
      </c>
      <c r="AR59" s="661">
        <f>IF((O59="A faire")*AND(D59="Tertiaire"),G59,0)</f>
        <v>0</v>
      </c>
      <c r="AS59" s="661">
        <f>IF((O59="A faire")*AND(D59="Transport"),G59,0)</f>
        <v>0</v>
      </c>
      <c r="AT59" s="661">
        <f>IF((O59="A faire")*AND(D59="Communal"),G59,0)</f>
        <v>0</v>
      </c>
      <c r="AU59" s="662"/>
      <c r="AV59" s="661">
        <f>IF((O59="A faire")*AND(D59="Territoire"),I59,0)</f>
        <v>0</v>
      </c>
      <c r="AW59" s="661">
        <f>IF((O59="A faire")*AND(D59="Agriculture"),I59,0)</f>
        <v>10000</v>
      </c>
      <c r="AX59" s="661">
        <f>IF((O59="A faire")*AND(D59="Industrie"),I59,0)</f>
        <v>0</v>
      </c>
      <c r="AY59" s="661">
        <f>IF((O59="A faire")*AND(D59="Logement"),I59,0)</f>
        <v>0</v>
      </c>
      <c r="AZ59" s="661">
        <f>IF((O59="A faire")*AND(D59="Tertiaire"),I59,0)</f>
        <v>0</v>
      </c>
      <c r="BA59" s="661">
        <f>IF((O59="A faire")*AND(D59="Transport"),I59,0)</f>
        <v>0</v>
      </c>
      <c r="BB59" s="661">
        <f>IF((O59="A faire")*AND(D59="Communal"),I59,0)</f>
        <v>0</v>
      </c>
      <c r="BC59" s="244"/>
      <c r="BD59" s="661">
        <f>IF((O59="A faire")*AND(D59="Territoire"),J59,0)</f>
        <v>0</v>
      </c>
      <c r="BE59" s="661">
        <f>IF((O59="A faire")*AND(D59="Agriculture"),J59,0)</f>
        <v>8726.4</v>
      </c>
      <c r="BF59" s="661">
        <f>IF((O59="A faire")*AND(D59="Industrie"),J59,0)</f>
        <v>0</v>
      </c>
      <c r="BG59" s="661">
        <f>IF((O59="A faire")*AND(D59="Logement"),J59,0)</f>
        <v>0</v>
      </c>
      <c r="BH59" s="661">
        <f>IF((O59="A faire")*AND(D59="Tertiaire"),2,0)</f>
        <v>0</v>
      </c>
      <c r="BI59" s="661">
        <f>IF((O59="A faire")*AND(D59="Transport"),J59,0)</f>
        <v>0</v>
      </c>
      <c r="BJ59" s="661">
        <f>IF((O59="A faire")*AND(D59="Communal"),J59,0)</f>
        <v>0</v>
      </c>
      <c r="BK59" s="662"/>
      <c r="BL59" s="661">
        <f>IF((O59="A faire")*AND(D59="Territoire"),K59,0)</f>
        <v>0</v>
      </c>
      <c r="BM59" s="661">
        <f>IF((O59="A faire")*AND(D59="Agriculture"),K59,0)</f>
        <v>0</v>
      </c>
      <c r="BN59" s="661">
        <f>IF((O59="A faire")*AND(D59="Industrie"),K59,0)</f>
        <v>0</v>
      </c>
      <c r="BO59" s="661">
        <f>IF((O59="A faire")*AND(D59="Logement"),K59,0)</f>
        <v>0</v>
      </c>
      <c r="BP59" s="661">
        <f>IF((O59="A faire")*AND(D59="Tertiaire"),K59,0)</f>
        <v>0</v>
      </c>
      <c r="BQ59" s="661">
        <f>IF((O59="A faire")*AND(D59="Transport"),K59,0)</f>
        <v>0</v>
      </c>
      <c r="BR59" s="661">
        <f>IF((O59="A faire")*AND(D59="Communal"),K59,0)</f>
        <v>0</v>
      </c>
    </row>
    <row r="60" spans="1:70" s="490" customFormat="1" x14ac:dyDescent="0.25">
      <c r="A60" s="777" t="s">
        <v>275</v>
      </c>
      <c r="B60" s="481" t="str">
        <f>'ADU-26'!$B$7</f>
        <v>Processus de fabrication</v>
      </c>
      <c r="C60" s="481" t="str">
        <f>'ADU-26'!$B$8</f>
        <v>Réduction des consommations des processus de fabrication</v>
      </c>
      <c r="D60" s="481" t="str">
        <f>'ADU-26'!$C$4</f>
        <v>Industrie</v>
      </c>
      <c r="E60" s="481" t="str">
        <f>'ADU-26'!$B$11</f>
        <v>Industrie</v>
      </c>
      <c r="F60" s="481" t="str">
        <f>'ADU-26'!$B$5</f>
        <v>Fonds propres</v>
      </c>
      <c r="G60" s="482">
        <f>'ADU-26'!$B$16</f>
        <v>300000</v>
      </c>
      <c r="H60" s="481" t="str">
        <f>'ADU-26'!$B$6</f>
        <v>Pas de subside</v>
      </c>
      <c r="I60" s="482">
        <f>'ADU-26'!$B$17</f>
        <v>90000</v>
      </c>
      <c r="J60" s="482">
        <f>'ADU-26'!$B$20</f>
        <v>44605.3125</v>
      </c>
      <c r="K60" s="482">
        <f>'ADU-26'!$B$21</f>
        <v>0</v>
      </c>
      <c r="L60" s="483">
        <f>'ADU-26'!$B$23</f>
        <v>4.7079593938502278</v>
      </c>
      <c r="M60" s="492">
        <f>'ADU-26'!$B$18/1000</f>
        <v>424.8125</v>
      </c>
      <c r="N60" s="485"/>
      <c r="O60" s="486" t="str">
        <f>'ADU-26'!$E$5</f>
        <v>A faire</v>
      </c>
      <c r="P60" s="487">
        <f>'ADU-26'!$B$15</f>
        <v>2019</v>
      </c>
      <c r="Q60" s="488">
        <f t="shared" si="0"/>
        <v>0</v>
      </c>
      <c r="R60" s="488">
        <f t="shared" si="41"/>
        <v>0</v>
      </c>
      <c r="S60" s="488">
        <f t="shared" si="42"/>
        <v>0</v>
      </c>
      <c r="T60" s="488">
        <f t="shared" si="43"/>
        <v>0</v>
      </c>
      <c r="U60" s="488">
        <f t="shared" si="44"/>
        <v>0</v>
      </c>
      <c r="V60" s="488">
        <f t="shared" si="45"/>
        <v>0</v>
      </c>
      <c r="W60" s="488">
        <f t="shared" si="46"/>
        <v>0</v>
      </c>
      <c r="X60" s="488">
        <f t="shared" si="47"/>
        <v>0</v>
      </c>
      <c r="Z60" s="661">
        <f t="shared" si="1"/>
        <v>0</v>
      </c>
      <c r="AA60" s="661">
        <f t="shared" si="2"/>
        <v>300000</v>
      </c>
      <c r="AB60" s="661">
        <f t="shared" si="3"/>
        <v>0</v>
      </c>
      <c r="AC60" s="661">
        <f t="shared" si="4"/>
        <v>0</v>
      </c>
      <c r="AD60" s="416">
        <f t="shared" si="5"/>
        <v>0</v>
      </c>
      <c r="AE60" s="661">
        <f t="shared" si="6"/>
        <v>0</v>
      </c>
      <c r="AF60" s="662"/>
      <c r="AG60" s="661">
        <f t="shared" si="7"/>
        <v>0</v>
      </c>
      <c r="AH60" s="661">
        <f t="shared" si="8"/>
        <v>90000</v>
      </c>
      <c r="AI60" s="661">
        <f t="shared" si="9"/>
        <v>0</v>
      </c>
      <c r="AJ60" s="661">
        <f t="shared" si="10"/>
        <v>0</v>
      </c>
      <c r="AK60" s="416">
        <f t="shared" si="11"/>
        <v>0</v>
      </c>
      <c r="AL60" s="661">
        <f t="shared" si="12"/>
        <v>0</v>
      </c>
      <c r="AM60" s="244"/>
      <c r="AN60" s="661">
        <f t="shared" si="13"/>
        <v>0</v>
      </c>
      <c r="AO60" s="661">
        <f t="shared" si="14"/>
        <v>0</v>
      </c>
      <c r="AP60" s="661">
        <f t="shared" si="15"/>
        <v>300000</v>
      </c>
      <c r="AQ60" s="661">
        <f t="shared" si="16"/>
        <v>0</v>
      </c>
      <c r="AR60" s="661">
        <f t="shared" si="17"/>
        <v>0</v>
      </c>
      <c r="AS60" s="661">
        <f t="shared" si="18"/>
        <v>0</v>
      </c>
      <c r="AT60" s="661">
        <f t="shared" si="19"/>
        <v>0</v>
      </c>
      <c r="AU60" s="662"/>
      <c r="AV60" s="661">
        <f t="shared" si="20"/>
        <v>0</v>
      </c>
      <c r="AW60" s="661">
        <f t="shared" si="21"/>
        <v>0</v>
      </c>
      <c r="AX60" s="661">
        <f t="shared" si="22"/>
        <v>90000</v>
      </c>
      <c r="AY60" s="661">
        <f t="shared" si="23"/>
        <v>0</v>
      </c>
      <c r="AZ60" s="661">
        <f t="shared" si="24"/>
        <v>0</v>
      </c>
      <c r="BA60" s="661">
        <f t="shared" si="25"/>
        <v>0</v>
      </c>
      <c r="BB60" s="661">
        <f t="shared" si="26"/>
        <v>0</v>
      </c>
      <c r="BC60" s="244"/>
      <c r="BD60" s="661">
        <f t="shared" si="27"/>
        <v>0</v>
      </c>
      <c r="BE60" s="661">
        <f t="shared" si="28"/>
        <v>0</v>
      </c>
      <c r="BF60" s="661">
        <f t="shared" si="29"/>
        <v>44605.3125</v>
      </c>
      <c r="BG60" s="661">
        <f t="shared" si="30"/>
        <v>0</v>
      </c>
      <c r="BH60" s="661">
        <f t="shared" si="31"/>
        <v>0</v>
      </c>
      <c r="BI60" s="661">
        <f t="shared" si="32"/>
        <v>0</v>
      </c>
      <c r="BJ60" s="661">
        <f t="shared" si="33"/>
        <v>0</v>
      </c>
      <c r="BK60" s="662"/>
      <c r="BL60" s="661">
        <f t="shared" si="34"/>
        <v>0</v>
      </c>
      <c r="BM60" s="661">
        <f t="shared" si="35"/>
        <v>0</v>
      </c>
      <c r="BN60" s="661">
        <f t="shared" si="36"/>
        <v>0</v>
      </c>
      <c r="BO60" s="661">
        <f t="shared" si="37"/>
        <v>0</v>
      </c>
      <c r="BP60" s="661">
        <f t="shared" si="38"/>
        <v>0</v>
      </c>
      <c r="BQ60" s="661">
        <f t="shared" si="39"/>
        <v>0</v>
      </c>
      <c r="BR60" s="661">
        <f t="shared" si="40"/>
        <v>0</v>
      </c>
    </row>
    <row r="61" spans="1:70" s="524" customFormat="1" x14ac:dyDescent="0.25">
      <c r="A61" s="778" t="s">
        <v>793</v>
      </c>
      <c r="B61" s="521" t="str">
        <f>'ADU-261'!$B$7</f>
        <v xml:space="preserve">Performance énergétique </v>
      </c>
      <c r="C61" s="521" t="str">
        <f>'ADU-261'!$B$8</f>
        <v>Performance énergétique des bâtiments tertiares</v>
      </c>
      <c r="D61" s="521" t="str">
        <f>'ADU-261'!$C$4</f>
        <v>Tertiaire</v>
      </c>
      <c r="E61" s="521" t="str">
        <f>'ADU-261'!$B$11</f>
        <v>Tertiaire</v>
      </c>
      <c r="F61" s="521" t="str">
        <f>'ADU-261'!$B$5</f>
        <v>Fonds propres</v>
      </c>
      <c r="G61" s="563">
        <f>'ADU-261'!$B$16</f>
        <v>20000</v>
      </c>
      <c r="H61" s="521" t="str">
        <f>'ADU-261'!$B$6</f>
        <v>Pas de subside</v>
      </c>
      <c r="I61" s="563">
        <f>'ADU-261'!$B$17</f>
        <v>0</v>
      </c>
      <c r="J61" s="563">
        <f>'ADU-261'!$B$20</f>
        <v>248007.89753976293</v>
      </c>
      <c r="K61" s="563">
        <f>'ADU-261'!$B$21</f>
        <v>0</v>
      </c>
      <c r="L61" s="564">
        <f>'ADU-261'!$B$23</f>
        <v>8.0642593233521589E-2</v>
      </c>
      <c r="M61" s="588">
        <f>'ADU-261'!$B$18/1000</f>
        <v>3946.388686781369</v>
      </c>
      <c r="N61" s="566"/>
      <c r="O61" s="567" t="str">
        <f>'ADU-261'!$E$5</f>
        <v>En cours</v>
      </c>
      <c r="P61" s="522">
        <f>'ADU-261'!$B$15</f>
        <v>2020</v>
      </c>
      <c r="Q61" s="523">
        <f t="shared" si="0"/>
        <v>0</v>
      </c>
      <c r="R61" s="523">
        <f t="shared" ref="R61" si="231">IF(O61="Terminé",M61,0)</f>
        <v>0</v>
      </c>
      <c r="S61" s="523">
        <f t="shared" ref="S61" si="232">IF(D61="Agriculture",R61,0)</f>
        <v>0</v>
      </c>
      <c r="T61" s="523">
        <f t="shared" ref="T61" si="233">IF(D61="Industrie", R61,0)</f>
        <v>0</v>
      </c>
      <c r="U61" s="523">
        <f t="shared" ref="U61" si="234">IF(D61="Logement", R61,0)</f>
        <v>0</v>
      </c>
      <c r="V61" s="523">
        <f t="shared" ref="V61" si="235">IF(D61="Tertiaire",R61,0)</f>
        <v>0</v>
      </c>
      <c r="W61" s="523">
        <f t="shared" ref="W61" si="236">IF(D61="Transport",R61,0)</f>
        <v>0</v>
      </c>
      <c r="X61" s="523">
        <f t="shared" ref="X61" si="237">IF(D61="Communal",R61,0)</f>
        <v>0</v>
      </c>
      <c r="Z61" s="661">
        <f t="shared" si="1"/>
        <v>0</v>
      </c>
      <c r="AA61" s="661">
        <f t="shared" si="2"/>
        <v>0</v>
      </c>
      <c r="AB61" s="661">
        <f t="shared" si="3"/>
        <v>0</v>
      </c>
      <c r="AC61" s="661">
        <f t="shared" si="4"/>
        <v>0</v>
      </c>
      <c r="AD61" s="416">
        <f t="shared" si="5"/>
        <v>0</v>
      </c>
      <c r="AE61" s="661">
        <f t="shared" si="6"/>
        <v>0</v>
      </c>
      <c r="AF61" s="662"/>
      <c r="AG61" s="661">
        <f t="shared" si="7"/>
        <v>0</v>
      </c>
      <c r="AH61" s="661">
        <f t="shared" si="8"/>
        <v>0</v>
      </c>
      <c r="AI61" s="661">
        <f t="shared" si="9"/>
        <v>0</v>
      </c>
      <c r="AJ61" s="661">
        <f t="shared" si="10"/>
        <v>0</v>
      </c>
      <c r="AK61" s="416">
        <f t="shared" si="11"/>
        <v>0</v>
      </c>
      <c r="AL61" s="661">
        <f t="shared" si="12"/>
        <v>0</v>
      </c>
      <c r="AM61" s="244"/>
      <c r="AN61" s="661">
        <f t="shared" si="13"/>
        <v>0</v>
      </c>
      <c r="AO61" s="661">
        <f t="shared" si="14"/>
        <v>0</v>
      </c>
      <c r="AP61" s="661">
        <f t="shared" si="15"/>
        <v>0</v>
      </c>
      <c r="AQ61" s="661">
        <f t="shared" si="16"/>
        <v>0</v>
      </c>
      <c r="AR61" s="661">
        <f t="shared" si="17"/>
        <v>0</v>
      </c>
      <c r="AS61" s="661">
        <f t="shared" si="18"/>
        <v>0</v>
      </c>
      <c r="AT61" s="661">
        <f t="shared" si="19"/>
        <v>0</v>
      </c>
      <c r="AU61" s="662"/>
      <c r="AV61" s="661">
        <f t="shared" si="20"/>
        <v>0</v>
      </c>
      <c r="AW61" s="661">
        <f t="shared" si="21"/>
        <v>0</v>
      </c>
      <c r="AX61" s="661">
        <f t="shared" si="22"/>
        <v>0</v>
      </c>
      <c r="AY61" s="661">
        <f t="shared" si="23"/>
        <v>0</v>
      </c>
      <c r="AZ61" s="661">
        <f t="shared" si="24"/>
        <v>0</v>
      </c>
      <c r="BA61" s="661">
        <f t="shared" si="25"/>
        <v>0</v>
      </c>
      <c r="BB61" s="661">
        <f t="shared" si="26"/>
        <v>0</v>
      </c>
      <c r="BC61" s="244"/>
      <c r="BD61" s="661">
        <f t="shared" si="27"/>
        <v>0</v>
      </c>
      <c r="BE61" s="661">
        <f t="shared" si="28"/>
        <v>0</v>
      </c>
      <c r="BF61" s="661">
        <f t="shared" si="29"/>
        <v>0</v>
      </c>
      <c r="BG61" s="661">
        <f t="shared" si="30"/>
        <v>0</v>
      </c>
      <c r="BH61" s="661">
        <f t="shared" si="31"/>
        <v>0</v>
      </c>
      <c r="BI61" s="661">
        <f t="shared" si="32"/>
        <v>0</v>
      </c>
      <c r="BJ61" s="661">
        <f t="shared" si="33"/>
        <v>0</v>
      </c>
      <c r="BK61" s="662"/>
      <c r="BL61" s="661">
        <f t="shared" si="34"/>
        <v>0</v>
      </c>
      <c r="BM61" s="661">
        <f t="shared" si="35"/>
        <v>0</v>
      </c>
      <c r="BN61" s="661">
        <f t="shared" si="36"/>
        <v>0</v>
      </c>
      <c r="BO61" s="661">
        <f t="shared" si="37"/>
        <v>0</v>
      </c>
      <c r="BP61" s="661">
        <f t="shared" si="38"/>
        <v>0</v>
      </c>
      <c r="BQ61" s="661">
        <f t="shared" si="39"/>
        <v>0</v>
      </c>
      <c r="BR61" s="661">
        <f t="shared" si="40"/>
        <v>0</v>
      </c>
    </row>
    <row r="62" spans="1:70" s="477" customFormat="1" x14ac:dyDescent="0.25">
      <c r="A62" s="769" t="s">
        <v>276</v>
      </c>
      <c r="B62" s="468" t="str">
        <f>'ADU-27'!$B$7</f>
        <v>Logement</v>
      </c>
      <c r="C62" s="468" t="str">
        <f>'ADU-27'!$B$8</f>
        <v xml:space="preserve"> Chauffage d'appoint et changement de vecteur énergétique </v>
      </c>
      <c r="D62" s="468" t="str">
        <f>'ADU-27'!$C$4</f>
        <v>Logement</v>
      </c>
      <c r="E62" s="468" t="str">
        <f>'ADU-27'!$B$11</f>
        <v>Citoyen</v>
      </c>
      <c r="F62" s="468" t="str">
        <f>'ADU-27'!$B$5</f>
        <v>Fonds propres</v>
      </c>
      <c r="G62" s="469">
        <f>'ADU-27'!$B$16</f>
        <v>300000</v>
      </c>
      <c r="H62" s="468" t="str">
        <f>'ADU-27'!$B$6</f>
        <v>Prime RW</v>
      </c>
      <c r="I62" s="469">
        <f>'ADU-27'!$B$17</f>
        <v>48000</v>
      </c>
      <c r="J62" s="469">
        <f>'ADU-27'!$B$20</f>
        <v>59219.999999999993</v>
      </c>
      <c r="K62" s="469">
        <f>'ADU-27'!$B$21</f>
        <v>0</v>
      </c>
      <c r="L62" s="470">
        <f>'ADU-27'!$B$23</f>
        <v>4.255319148936171</v>
      </c>
      <c r="M62" s="479">
        <f>'ADU-27'!$B$18/1000</f>
        <v>846</v>
      </c>
      <c r="N62" s="472"/>
      <c r="O62" s="473" t="str">
        <f>'ADU-27'!$E$5</f>
        <v>Terminé</v>
      </c>
      <c r="P62" s="474">
        <f>'ADU-27'!$B$15</f>
        <v>2020</v>
      </c>
      <c r="Q62" s="475">
        <f t="shared" si="0"/>
        <v>846</v>
      </c>
      <c r="R62" s="475">
        <f t="shared" si="41"/>
        <v>846</v>
      </c>
      <c r="S62" s="475">
        <f t="shared" si="42"/>
        <v>0</v>
      </c>
      <c r="T62" s="475">
        <f t="shared" si="43"/>
        <v>0</v>
      </c>
      <c r="U62" s="475">
        <f t="shared" si="44"/>
        <v>846</v>
      </c>
      <c r="V62" s="475">
        <f t="shared" si="45"/>
        <v>0</v>
      </c>
      <c r="W62" s="475">
        <f t="shared" si="46"/>
        <v>0</v>
      </c>
      <c r="X62" s="475">
        <f t="shared" si="47"/>
        <v>0</v>
      </c>
      <c r="Z62" s="661">
        <f t="shared" si="1"/>
        <v>0</v>
      </c>
      <c r="AA62" s="661">
        <f t="shared" si="2"/>
        <v>0</v>
      </c>
      <c r="AB62" s="661">
        <f t="shared" si="3"/>
        <v>0</v>
      </c>
      <c r="AC62" s="661">
        <f t="shared" si="4"/>
        <v>0</v>
      </c>
      <c r="AD62" s="416">
        <f t="shared" si="5"/>
        <v>0</v>
      </c>
      <c r="AE62" s="661">
        <f t="shared" si="6"/>
        <v>0</v>
      </c>
      <c r="AF62" s="662"/>
      <c r="AG62" s="661">
        <f t="shared" si="7"/>
        <v>0</v>
      </c>
      <c r="AH62" s="661">
        <f t="shared" si="8"/>
        <v>0</v>
      </c>
      <c r="AI62" s="661">
        <f t="shared" si="9"/>
        <v>0</v>
      </c>
      <c r="AJ62" s="661">
        <f t="shared" si="10"/>
        <v>0</v>
      </c>
      <c r="AK62" s="416">
        <f t="shared" si="11"/>
        <v>0</v>
      </c>
      <c r="AL62" s="661">
        <f t="shared" si="12"/>
        <v>0</v>
      </c>
      <c r="AM62" s="244"/>
      <c r="AN62" s="661">
        <f t="shared" si="13"/>
        <v>0</v>
      </c>
      <c r="AO62" s="661">
        <f t="shared" si="14"/>
        <v>0</v>
      </c>
      <c r="AP62" s="661">
        <f t="shared" si="15"/>
        <v>0</v>
      </c>
      <c r="AQ62" s="661">
        <f t="shared" si="16"/>
        <v>0</v>
      </c>
      <c r="AR62" s="661">
        <f t="shared" si="17"/>
        <v>0</v>
      </c>
      <c r="AS62" s="661">
        <f t="shared" si="18"/>
        <v>0</v>
      </c>
      <c r="AT62" s="661">
        <f t="shared" si="19"/>
        <v>0</v>
      </c>
      <c r="AU62" s="662"/>
      <c r="AV62" s="661">
        <f t="shared" si="20"/>
        <v>0</v>
      </c>
      <c r="AW62" s="661">
        <f t="shared" si="21"/>
        <v>0</v>
      </c>
      <c r="AX62" s="661">
        <f t="shared" si="22"/>
        <v>0</v>
      </c>
      <c r="AY62" s="661">
        <f t="shared" si="23"/>
        <v>0</v>
      </c>
      <c r="AZ62" s="661">
        <f t="shared" si="24"/>
        <v>0</v>
      </c>
      <c r="BA62" s="661">
        <f t="shared" si="25"/>
        <v>0</v>
      </c>
      <c r="BB62" s="661">
        <f t="shared" si="26"/>
        <v>0</v>
      </c>
      <c r="BC62" s="244"/>
      <c r="BD62" s="661">
        <f t="shared" si="27"/>
        <v>0</v>
      </c>
      <c r="BE62" s="661">
        <f t="shared" si="28"/>
        <v>0</v>
      </c>
      <c r="BF62" s="661">
        <f t="shared" si="29"/>
        <v>0</v>
      </c>
      <c r="BG62" s="661">
        <f t="shared" si="30"/>
        <v>0</v>
      </c>
      <c r="BH62" s="661">
        <f t="shared" si="31"/>
        <v>0</v>
      </c>
      <c r="BI62" s="661">
        <f t="shared" si="32"/>
        <v>0</v>
      </c>
      <c r="BJ62" s="661">
        <f t="shared" si="33"/>
        <v>0</v>
      </c>
      <c r="BK62" s="662"/>
      <c r="BL62" s="661">
        <f t="shared" si="34"/>
        <v>0</v>
      </c>
      <c r="BM62" s="661">
        <f t="shared" si="35"/>
        <v>0</v>
      </c>
      <c r="BN62" s="661">
        <f t="shared" si="36"/>
        <v>0</v>
      </c>
      <c r="BO62" s="661">
        <f t="shared" si="37"/>
        <v>0</v>
      </c>
      <c r="BP62" s="661">
        <f t="shared" si="38"/>
        <v>0</v>
      </c>
      <c r="BQ62" s="661">
        <f t="shared" si="39"/>
        <v>0</v>
      </c>
      <c r="BR62" s="661">
        <f t="shared" si="40"/>
        <v>0</v>
      </c>
    </row>
    <row r="63" spans="1:70" s="516" customFormat="1" x14ac:dyDescent="0.25">
      <c r="A63" s="772" t="s">
        <v>287</v>
      </c>
      <c r="B63" s="508" t="str">
        <f>'ADU-28'!$B$7</f>
        <v>Agriculteurs</v>
      </c>
      <c r="C63" s="508" t="str">
        <f>'ADU-28'!$B$8</f>
        <v xml:space="preserve">Installation "individuelle" de production de biogaz </v>
      </c>
      <c r="D63" s="508" t="str">
        <f>'ADU-28'!$C$4</f>
        <v>Agriculture</v>
      </c>
      <c r="E63" s="508" t="str">
        <f>'ADU-28'!$B$11</f>
        <v>Agriculture</v>
      </c>
      <c r="F63" s="508" t="str">
        <f>'ADU-28'!$B$5</f>
        <v>Prêt bancaire</v>
      </c>
      <c r="G63" s="551">
        <f>'ADU-28'!$B$16</f>
        <v>360000</v>
      </c>
      <c r="H63" s="508" t="str">
        <f>'ADU-28'!$B$6</f>
        <v>Subs RW</v>
      </c>
      <c r="I63" s="551">
        <f>'ADU-28'!$B$17</f>
        <v>108000</v>
      </c>
      <c r="J63" s="551">
        <f>'ADU-28'!$B$20</f>
        <v>38237.483700000004</v>
      </c>
      <c r="K63" s="551">
        <f>'ADU-28'!$B$21</f>
        <v>17795.699999999997</v>
      </c>
      <c r="L63" s="552">
        <f>'ADU-28'!$B$23</f>
        <v>4.4973350318482792</v>
      </c>
      <c r="M63" s="558">
        <f>'ADU-28'!$B$18/1000</f>
        <v>273.77999999999997</v>
      </c>
      <c r="N63" s="554"/>
      <c r="O63" s="555" t="str">
        <f>'ADU-28'!$E$5</f>
        <v>A faire</v>
      </c>
      <c r="P63" s="513">
        <f>'ADU-28'!$B$15</f>
        <v>2020</v>
      </c>
      <c r="Q63" s="514">
        <f t="shared" si="0"/>
        <v>0</v>
      </c>
      <c r="R63" s="514">
        <f t="shared" si="41"/>
        <v>0</v>
      </c>
      <c r="S63" s="514">
        <f t="shared" si="42"/>
        <v>0</v>
      </c>
      <c r="T63" s="514">
        <f t="shared" si="43"/>
        <v>0</v>
      </c>
      <c r="U63" s="514">
        <f t="shared" si="44"/>
        <v>0</v>
      </c>
      <c r="V63" s="514">
        <f t="shared" si="45"/>
        <v>0</v>
      </c>
      <c r="W63" s="514">
        <f t="shared" si="46"/>
        <v>0</v>
      </c>
      <c r="X63" s="514">
        <f t="shared" si="47"/>
        <v>0</v>
      </c>
      <c r="Z63" s="661">
        <f t="shared" si="1"/>
        <v>360000</v>
      </c>
      <c r="AA63" s="661">
        <f t="shared" si="2"/>
        <v>0</v>
      </c>
      <c r="AB63" s="661">
        <f t="shared" si="3"/>
        <v>0</v>
      </c>
      <c r="AC63" s="661">
        <f t="shared" si="4"/>
        <v>0</v>
      </c>
      <c r="AD63" s="416">
        <f t="shared" si="5"/>
        <v>0</v>
      </c>
      <c r="AE63" s="661">
        <f t="shared" si="6"/>
        <v>0</v>
      </c>
      <c r="AF63" s="662"/>
      <c r="AG63" s="661">
        <f t="shared" si="7"/>
        <v>108000</v>
      </c>
      <c r="AH63" s="661">
        <f t="shared" si="8"/>
        <v>0</v>
      </c>
      <c r="AI63" s="661">
        <f t="shared" si="9"/>
        <v>0</v>
      </c>
      <c r="AJ63" s="661">
        <f t="shared" si="10"/>
        <v>0</v>
      </c>
      <c r="AK63" s="416">
        <f t="shared" si="11"/>
        <v>0</v>
      </c>
      <c r="AL63" s="661">
        <f t="shared" si="12"/>
        <v>0</v>
      </c>
      <c r="AM63" s="244"/>
      <c r="AN63" s="661">
        <f t="shared" si="13"/>
        <v>0</v>
      </c>
      <c r="AO63" s="661">
        <f t="shared" si="14"/>
        <v>360000</v>
      </c>
      <c r="AP63" s="661">
        <f t="shared" si="15"/>
        <v>0</v>
      </c>
      <c r="AQ63" s="661">
        <f t="shared" si="16"/>
        <v>0</v>
      </c>
      <c r="AR63" s="661">
        <f t="shared" si="17"/>
        <v>0</v>
      </c>
      <c r="AS63" s="661">
        <f t="shared" si="18"/>
        <v>0</v>
      </c>
      <c r="AT63" s="661">
        <f t="shared" si="19"/>
        <v>0</v>
      </c>
      <c r="AU63" s="662"/>
      <c r="AV63" s="661">
        <f t="shared" si="20"/>
        <v>0</v>
      </c>
      <c r="AW63" s="661">
        <f t="shared" si="21"/>
        <v>108000</v>
      </c>
      <c r="AX63" s="661">
        <f t="shared" si="22"/>
        <v>0</v>
      </c>
      <c r="AY63" s="661">
        <f t="shared" si="23"/>
        <v>0</v>
      </c>
      <c r="AZ63" s="661">
        <f t="shared" si="24"/>
        <v>0</v>
      </c>
      <c r="BA63" s="661">
        <f t="shared" si="25"/>
        <v>0</v>
      </c>
      <c r="BB63" s="661">
        <f t="shared" si="26"/>
        <v>0</v>
      </c>
      <c r="BC63" s="244"/>
      <c r="BD63" s="661">
        <f t="shared" si="27"/>
        <v>0</v>
      </c>
      <c r="BE63" s="661">
        <f t="shared" si="28"/>
        <v>38237.483700000004</v>
      </c>
      <c r="BF63" s="661">
        <f t="shared" si="29"/>
        <v>0</v>
      </c>
      <c r="BG63" s="661">
        <f t="shared" si="30"/>
        <v>0</v>
      </c>
      <c r="BH63" s="661">
        <f t="shared" si="31"/>
        <v>0</v>
      </c>
      <c r="BI63" s="661">
        <f t="shared" si="32"/>
        <v>0</v>
      </c>
      <c r="BJ63" s="661">
        <f t="shared" si="33"/>
        <v>0</v>
      </c>
      <c r="BK63" s="662"/>
      <c r="BL63" s="661">
        <f t="shared" si="34"/>
        <v>0</v>
      </c>
      <c r="BM63" s="661">
        <f t="shared" si="35"/>
        <v>17795.699999999997</v>
      </c>
      <c r="BN63" s="661">
        <f t="shared" si="36"/>
        <v>0</v>
      </c>
      <c r="BO63" s="661">
        <f t="shared" si="37"/>
        <v>0</v>
      </c>
      <c r="BP63" s="661">
        <f t="shared" si="38"/>
        <v>0</v>
      </c>
      <c r="BQ63" s="661">
        <f t="shared" si="39"/>
        <v>0</v>
      </c>
      <c r="BR63" s="661">
        <f t="shared" si="40"/>
        <v>0</v>
      </c>
    </row>
    <row r="64" spans="1:70" s="464" customFormat="1" x14ac:dyDescent="0.25">
      <c r="A64" s="776" t="s">
        <v>239</v>
      </c>
      <c r="B64" s="456" t="str">
        <f>'ADU-29'!$B$7</f>
        <v>Industrie</v>
      </c>
      <c r="C64" s="456" t="str">
        <f>'ADU-29'!$B$8</f>
        <v>Installation d'un parc de 4 éoliennes de 2,97 MW</v>
      </c>
      <c r="D64" s="456" t="str">
        <f>'ADU-29'!$C$4</f>
        <v>Territoire</v>
      </c>
      <c r="E64" s="456" t="str">
        <f>'ADU-29'!$B$11</f>
        <v>AC HABAY</v>
      </c>
      <c r="F64" s="456" t="str">
        <f>'ADU-29'!$B$5</f>
        <v>Montage</v>
      </c>
      <c r="G64" s="457">
        <f>'ADU-29'!$B$16</f>
        <v>17820000</v>
      </c>
      <c r="H64" s="456" t="str">
        <f>'ADU-29'!$B$6</f>
        <v>CV</v>
      </c>
      <c r="I64" s="457">
        <f>'ADU-29'!$B$17</f>
        <v>3564000</v>
      </c>
      <c r="J64" s="457">
        <f>'ADU-29'!$B$20</f>
        <v>1040688</v>
      </c>
      <c r="K64" s="457">
        <f>'ADU-29'!$B$21</f>
        <v>1691118</v>
      </c>
      <c r="L64" s="458">
        <f>'ADU-29'!$B$23</f>
        <v>5.2185257664709717</v>
      </c>
      <c r="M64" s="466">
        <f>'ADU-29'!$B$18/1000</f>
        <v>0</v>
      </c>
      <c r="N64" s="460"/>
      <c r="O64" s="461" t="str">
        <f>'ADU-29'!$E$5</f>
        <v>A investiguer</v>
      </c>
      <c r="P64" s="462">
        <f>'ADU-29'!$B$15</f>
        <v>2020</v>
      </c>
      <c r="Q64" s="463">
        <f t="shared" si="0"/>
        <v>0</v>
      </c>
      <c r="R64" s="463">
        <f t="shared" si="41"/>
        <v>0</v>
      </c>
      <c r="S64" s="463">
        <f t="shared" si="42"/>
        <v>0</v>
      </c>
      <c r="T64" s="463">
        <f t="shared" si="43"/>
        <v>0</v>
      </c>
      <c r="U64" s="463">
        <f t="shared" si="44"/>
        <v>0</v>
      </c>
      <c r="V64" s="463">
        <f t="shared" si="45"/>
        <v>0</v>
      </c>
      <c r="W64" s="463">
        <f t="shared" si="46"/>
        <v>0</v>
      </c>
      <c r="X64" s="463">
        <f t="shared" si="47"/>
        <v>0</v>
      </c>
      <c r="Z64" s="501">
        <f t="shared" si="1"/>
        <v>0</v>
      </c>
      <c r="AA64" s="501">
        <f t="shared" si="2"/>
        <v>0</v>
      </c>
      <c r="AB64" s="501">
        <f t="shared" si="3"/>
        <v>0</v>
      </c>
      <c r="AC64" s="501">
        <f t="shared" si="4"/>
        <v>0</v>
      </c>
      <c r="AD64" s="416">
        <f t="shared" si="5"/>
        <v>0</v>
      </c>
      <c r="AE64" s="501">
        <f t="shared" si="6"/>
        <v>0</v>
      </c>
      <c r="AF64" s="503"/>
      <c r="AG64" s="501">
        <f t="shared" si="7"/>
        <v>0</v>
      </c>
      <c r="AH64" s="501">
        <f t="shared" si="8"/>
        <v>0</v>
      </c>
      <c r="AI64" s="501">
        <f t="shared" si="9"/>
        <v>0</v>
      </c>
      <c r="AJ64" s="501">
        <f t="shared" si="10"/>
        <v>0</v>
      </c>
      <c r="AK64" s="416">
        <f t="shared" si="11"/>
        <v>0</v>
      </c>
      <c r="AL64" s="501">
        <f t="shared" si="12"/>
        <v>0</v>
      </c>
      <c r="AM64" s="244"/>
      <c r="AN64" s="501">
        <f t="shared" si="13"/>
        <v>0</v>
      </c>
      <c r="AO64" s="501">
        <f t="shared" si="14"/>
        <v>0</v>
      </c>
      <c r="AP64" s="501">
        <f t="shared" si="15"/>
        <v>0</v>
      </c>
      <c r="AQ64" s="501">
        <f t="shared" si="16"/>
        <v>0</v>
      </c>
      <c r="AR64" s="501">
        <f t="shared" si="17"/>
        <v>0</v>
      </c>
      <c r="AS64" s="501">
        <f t="shared" si="18"/>
        <v>0</v>
      </c>
      <c r="AT64" s="501">
        <f t="shared" si="19"/>
        <v>0</v>
      </c>
      <c r="AU64" s="503"/>
      <c r="AV64" s="501">
        <f t="shared" si="20"/>
        <v>0</v>
      </c>
      <c r="AW64" s="501">
        <f t="shared" si="21"/>
        <v>0</v>
      </c>
      <c r="AX64" s="501">
        <f t="shared" si="22"/>
        <v>0</v>
      </c>
      <c r="AY64" s="501">
        <f t="shared" si="23"/>
        <v>0</v>
      </c>
      <c r="AZ64" s="501">
        <f t="shared" si="24"/>
        <v>0</v>
      </c>
      <c r="BA64" s="501">
        <f t="shared" si="25"/>
        <v>0</v>
      </c>
      <c r="BB64" s="501">
        <f t="shared" si="26"/>
        <v>0</v>
      </c>
      <c r="BC64" s="244"/>
      <c r="BD64" s="501">
        <f t="shared" si="27"/>
        <v>0</v>
      </c>
      <c r="BE64" s="501">
        <f t="shared" si="28"/>
        <v>0</v>
      </c>
      <c r="BF64" s="501">
        <f t="shared" si="29"/>
        <v>0</v>
      </c>
      <c r="BG64" s="501">
        <f t="shared" si="30"/>
        <v>0</v>
      </c>
      <c r="BH64" s="501">
        <f t="shared" si="31"/>
        <v>0</v>
      </c>
      <c r="BI64" s="501">
        <f t="shared" si="32"/>
        <v>0</v>
      </c>
      <c r="BJ64" s="501">
        <f t="shared" si="33"/>
        <v>0</v>
      </c>
      <c r="BK64" s="503"/>
      <c r="BL64" s="501">
        <f t="shared" si="34"/>
        <v>0</v>
      </c>
      <c r="BM64" s="501">
        <f t="shared" si="35"/>
        <v>0</v>
      </c>
      <c r="BN64" s="501">
        <f t="shared" si="36"/>
        <v>0</v>
      </c>
      <c r="BO64" s="501">
        <f t="shared" si="37"/>
        <v>0</v>
      </c>
      <c r="BP64" s="501">
        <f t="shared" si="38"/>
        <v>0</v>
      </c>
      <c r="BQ64" s="501">
        <f t="shared" si="39"/>
        <v>0</v>
      </c>
      <c r="BR64" s="501">
        <f t="shared" si="40"/>
        <v>0</v>
      </c>
    </row>
    <row r="65" spans="1:70" s="442" customFormat="1" x14ac:dyDescent="0.25">
      <c r="A65" s="779" t="s">
        <v>134</v>
      </c>
      <c r="B65" s="433" t="str">
        <f>'ADU-30'!$B$7</f>
        <v>Transport</v>
      </c>
      <c r="C65" s="433" t="str">
        <f>'ADU-30'!$B$8</f>
        <v>Formation à l'éco-conduite</v>
      </c>
      <c r="D65" s="433" t="str">
        <f>'ADU-30'!$C$4</f>
        <v>Transport</v>
      </c>
      <c r="E65" s="433" t="str">
        <f>'ADU-30'!$B$11</f>
        <v>Citoyen</v>
      </c>
      <c r="F65" s="433" t="str">
        <f>'ADU-30'!$B$5</f>
        <v>Fonds propres</v>
      </c>
      <c r="G65" s="434">
        <f>'ADU-30'!$B$16</f>
        <v>20000</v>
      </c>
      <c r="H65" s="433" t="str">
        <f>'ADU-30'!$B$6</f>
        <v>Pas de subside</v>
      </c>
      <c r="I65" s="434">
        <f>'ADU-30'!$B$17</f>
        <v>0</v>
      </c>
      <c r="J65" s="434">
        <f>'ADU-30'!$B$20</f>
        <v>14870.400000000001</v>
      </c>
      <c r="K65" s="434">
        <f>'ADU-30'!$B$21</f>
        <v>0</v>
      </c>
      <c r="L65" s="435">
        <f>'ADU-30'!$B$23</f>
        <v>1.3449537335915642</v>
      </c>
      <c r="M65" s="453">
        <f>'ADU-30'!$B$18/1000</f>
        <v>92.94</v>
      </c>
      <c r="N65" s="437"/>
      <c r="O65" s="438" t="str">
        <f>'ADU-30'!$E$5</f>
        <v>A faire</v>
      </c>
      <c r="P65" s="439">
        <f>'ADU-30'!$B$15</f>
        <v>2020</v>
      </c>
      <c r="Q65" s="674">
        <f t="shared" si="0"/>
        <v>0</v>
      </c>
      <c r="R65" s="440">
        <f t="shared" si="41"/>
        <v>0</v>
      </c>
      <c r="S65" s="440">
        <f t="shared" si="42"/>
        <v>0</v>
      </c>
      <c r="T65" s="440">
        <f t="shared" si="43"/>
        <v>0</v>
      </c>
      <c r="U65" s="440">
        <f t="shared" si="44"/>
        <v>0</v>
      </c>
      <c r="V65" s="440">
        <f t="shared" si="45"/>
        <v>0</v>
      </c>
      <c r="W65" s="440">
        <f t="shared" si="46"/>
        <v>0</v>
      </c>
      <c r="X65" s="440">
        <f t="shared" si="47"/>
        <v>0</v>
      </c>
      <c r="Z65" s="501">
        <f t="shared" si="1"/>
        <v>0</v>
      </c>
      <c r="AA65" s="501">
        <f t="shared" si="2"/>
        <v>0</v>
      </c>
      <c r="AB65" s="501">
        <f t="shared" si="3"/>
        <v>20000</v>
      </c>
      <c r="AC65" s="501">
        <f t="shared" si="4"/>
        <v>0</v>
      </c>
      <c r="AD65" s="416">
        <f t="shared" si="5"/>
        <v>0</v>
      </c>
      <c r="AE65" s="501">
        <f t="shared" si="6"/>
        <v>0</v>
      </c>
      <c r="AF65" s="503"/>
      <c r="AG65" s="501">
        <f t="shared" si="7"/>
        <v>0</v>
      </c>
      <c r="AH65" s="501">
        <f t="shared" si="8"/>
        <v>0</v>
      </c>
      <c r="AI65" s="501">
        <f t="shared" si="9"/>
        <v>0</v>
      </c>
      <c r="AJ65" s="501">
        <f t="shared" si="10"/>
        <v>0</v>
      </c>
      <c r="AK65" s="416">
        <f t="shared" si="11"/>
        <v>0</v>
      </c>
      <c r="AL65" s="501">
        <f t="shared" si="12"/>
        <v>0</v>
      </c>
      <c r="AM65" s="244"/>
      <c r="AN65" s="501">
        <f t="shared" si="13"/>
        <v>0</v>
      </c>
      <c r="AO65" s="501">
        <f t="shared" si="14"/>
        <v>0</v>
      </c>
      <c r="AP65" s="501">
        <f t="shared" si="15"/>
        <v>0</v>
      </c>
      <c r="AQ65" s="501">
        <f t="shared" si="16"/>
        <v>0</v>
      </c>
      <c r="AR65" s="501">
        <f t="shared" si="17"/>
        <v>0</v>
      </c>
      <c r="AS65" s="501">
        <f t="shared" si="18"/>
        <v>20000</v>
      </c>
      <c r="AT65" s="501">
        <f t="shared" si="19"/>
        <v>0</v>
      </c>
      <c r="AU65" s="503"/>
      <c r="AV65" s="501">
        <f t="shared" si="20"/>
        <v>0</v>
      </c>
      <c r="AW65" s="501">
        <f t="shared" si="21"/>
        <v>0</v>
      </c>
      <c r="AX65" s="501">
        <f t="shared" si="22"/>
        <v>0</v>
      </c>
      <c r="AY65" s="501">
        <f t="shared" si="23"/>
        <v>0</v>
      </c>
      <c r="AZ65" s="501">
        <f t="shared" si="24"/>
        <v>0</v>
      </c>
      <c r="BA65" s="501">
        <f t="shared" si="25"/>
        <v>0</v>
      </c>
      <c r="BB65" s="501">
        <f t="shared" si="26"/>
        <v>0</v>
      </c>
      <c r="BC65" s="244"/>
      <c r="BD65" s="501">
        <f t="shared" si="27"/>
        <v>0</v>
      </c>
      <c r="BE65" s="501">
        <f t="shared" si="28"/>
        <v>0</v>
      </c>
      <c r="BF65" s="501">
        <f t="shared" si="29"/>
        <v>0</v>
      </c>
      <c r="BG65" s="501">
        <f t="shared" si="30"/>
        <v>0</v>
      </c>
      <c r="BH65" s="501">
        <f t="shared" si="31"/>
        <v>0</v>
      </c>
      <c r="BI65" s="501">
        <f t="shared" si="32"/>
        <v>14870.400000000001</v>
      </c>
      <c r="BJ65" s="501">
        <f t="shared" si="33"/>
        <v>0</v>
      </c>
      <c r="BK65" s="503"/>
      <c r="BL65" s="501">
        <f t="shared" si="34"/>
        <v>0</v>
      </c>
      <c r="BM65" s="501">
        <f t="shared" si="35"/>
        <v>0</v>
      </c>
      <c r="BN65" s="501">
        <f t="shared" si="36"/>
        <v>0</v>
      </c>
      <c r="BO65" s="501">
        <f t="shared" si="37"/>
        <v>0</v>
      </c>
      <c r="BP65" s="501">
        <f t="shared" si="38"/>
        <v>0</v>
      </c>
      <c r="BQ65" s="501">
        <f t="shared" si="39"/>
        <v>0</v>
      </c>
      <c r="BR65" s="501">
        <f t="shared" si="40"/>
        <v>0</v>
      </c>
    </row>
    <row r="66" spans="1:70" s="442" customFormat="1" x14ac:dyDescent="0.25">
      <c r="A66" s="779" t="s">
        <v>143</v>
      </c>
      <c r="B66" s="433" t="str">
        <f>'ADU-31'!$B$7</f>
        <v>Transport</v>
      </c>
      <c r="C66" s="433" t="str">
        <f>'ADU-31'!$B$8</f>
        <v>Covoiturage</v>
      </c>
      <c r="D66" s="433" t="str">
        <f>'ADU-31'!$C$4</f>
        <v>Transport</v>
      </c>
      <c r="E66" s="433" t="str">
        <f>'ADU-31'!$B$11</f>
        <v>Citoyen</v>
      </c>
      <c r="F66" s="433" t="str">
        <f>'ADU-31'!$B$5</f>
        <v>Pas de financement</v>
      </c>
      <c r="G66" s="434">
        <f>'ADU-31'!$B$16</f>
        <v>0</v>
      </c>
      <c r="H66" s="433" t="str">
        <f>'ADU-31'!$B$6</f>
        <v>Pas de subside</v>
      </c>
      <c r="I66" s="434">
        <f>'ADU-31'!$B$17</f>
        <v>0</v>
      </c>
      <c r="J66" s="434">
        <f>'ADU-31'!$B$20</f>
        <v>371520</v>
      </c>
      <c r="K66" s="434">
        <f>'ADU-31'!$B$21</f>
        <v>0</v>
      </c>
      <c r="L66" s="435">
        <f>'ADU-31'!$B$23</f>
        <v>0</v>
      </c>
      <c r="M66" s="453">
        <f>'ADU-31'!$B$18/1000</f>
        <v>2322</v>
      </c>
      <c r="N66" s="437"/>
      <c r="O66" s="438" t="str">
        <f>'ADU-31'!$E$5</f>
        <v>En cours</v>
      </c>
      <c r="P66" s="439">
        <f>'ADU-31'!$B$15</f>
        <v>2020</v>
      </c>
      <c r="Q66" s="674">
        <f t="shared" si="0"/>
        <v>0</v>
      </c>
      <c r="R66" s="440">
        <f t="shared" si="41"/>
        <v>0</v>
      </c>
      <c r="S66" s="440">
        <f t="shared" si="42"/>
        <v>0</v>
      </c>
      <c r="T66" s="440">
        <f t="shared" si="43"/>
        <v>0</v>
      </c>
      <c r="U66" s="440">
        <f t="shared" si="44"/>
        <v>0</v>
      </c>
      <c r="V66" s="440">
        <f t="shared" si="45"/>
        <v>0</v>
      </c>
      <c r="W66" s="440">
        <f t="shared" si="46"/>
        <v>0</v>
      </c>
      <c r="X66" s="440">
        <f t="shared" si="47"/>
        <v>0</v>
      </c>
      <c r="Z66" s="501">
        <f t="shared" si="1"/>
        <v>0</v>
      </c>
      <c r="AA66" s="501">
        <f t="shared" si="2"/>
        <v>0</v>
      </c>
      <c r="AB66" s="501">
        <f t="shared" si="3"/>
        <v>0</v>
      </c>
      <c r="AC66" s="501">
        <f t="shared" si="4"/>
        <v>0</v>
      </c>
      <c r="AD66" s="416">
        <f t="shared" si="5"/>
        <v>0</v>
      </c>
      <c r="AE66" s="501">
        <f t="shared" si="6"/>
        <v>0</v>
      </c>
      <c r="AF66" s="503"/>
      <c r="AG66" s="501">
        <f t="shared" si="7"/>
        <v>0</v>
      </c>
      <c r="AH66" s="501">
        <f t="shared" si="8"/>
        <v>0</v>
      </c>
      <c r="AI66" s="501">
        <f t="shared" si="9"/>
        <v>0</v>
      </c>
      <c r="AJ66" s="501">
        <f t="shared" si="10"/>
        <v>0</v>
      </c>
      <c r="AK66" s="416">
        <f t="shared" si="11"/>
        <v>0</v>
      </c>
      <c r="AL66" s="501">
        <f t="shared" si="12"/>
        <v>0</v>
      </c>
      <c r="AM66" s="244"/>
      <c r="AN66" s="501">
        <f t="shared" si="13"/>
        <v>0</v>
      </c>
      <c r="AO66" s="501">
        <f t="shared" si="14"/>
        <v>0</v>
      </c>
      <c r="AP66" s="501">
        <f t="shared" si="15"/>
        <v>0</v>
      </c>
      <c r="AQ66" s="501">
        <f t="shared" si="16"/>
        <v>0</v>
      </c>
      <c r="AR66" s="501">
        <f t="shared" si="17"/>
        <v>0</v>
      </c>
      <c r="AS66" s="501">
        <f t="shared" si="18"/>
        <v>0</v>
      </c>
      <c r="AT66" s="501">
        <f t="shared" si="19"/>
        <v>0</v>
      </c>
      <c r="AU66" s="503"/>
      <c r="AV66" s="501">
        <f t="shared" si="20"/>
        <v>0</v>
      </c>
      <c r="AW66" s="501">
        <f t="shared" si="21"/>
        <v>0</v>
      </c>
      <c r="AX66" s="501">
        <f t="shared" si="22"/>
        <v>0</v>
      </c>
      <c r="AY66" s="501">
        <f t="shared" si="23"/>
        <v>0</v>
      </c>
      <c r="AZ66" s="501">
        <f t="shared" si="24"/>
        <v>0</v>
      </c>
      <c r="BA66" s="501">
        <f t="shared" si="25"/>
        <v>0</v>
      </c>
      <c r="BB66" s="501">
        <f t="shared" si="26"/>
        <v>0</v>
      </c>
      <c r="BC66" s="244"/>
      <c r="BD66" s="501">
        <f t="shared" si="27"/>
        <v>0</v>
      </c>
      <c r="BE66" s="501">
        <f t="shared" si="28"/>
        <v>0</v>
      </c>
      <c r="BF66" s="501">
        <f t="shared" si="29"/>
        <v>0</v>
      </c>
      <c r="BG66" s="501">
        <f t="shared" si="30"/>
        <v>0</v>
      </c>
      <c r="BH66" s="501">
        <f t="shared" si="31"/>
        <v>0</v>
      </c>
      <c r="BI66" s="501">
        <f t="shared" si="32"/>
        <v>0</v>
      </c>
      <c r="BJ66" s="501">
        <f t="shared" si="33"/>
        <v>0</v>
      </c>
      <c r="BK66" s="503"/>
      <c r="BL66" s="501">
        <f t="shared" si="34"/>
        <v>0</v>
      </c>
      <c r="BM66" s="501">
        <f t="shared" si="35"/>
        <v>0</v>
      </c>
      <c r="BN66" s="501">
        <f t="shared" si="36"/>
        <v>0</v>
      </c>
      <c r="BO66" s="501">
        <f t="shared" si="37"/>
        <v>0</v>
      </c>
      <c r="BP66" s="501">
        <f t="shared" si="38"/>
        <v>0</v>
      </c>
      <c r="BQ66" s="501">
        <f t="shared" si="39"/>
        <v>0</v>
      </c>
      <c r="BR66" s="501">
        <f t="shared" si="40"/>
        <v>0</v>
      </c>
    </row>
    <row r="67" spans="1:70" s="442" customFormat="1" x14ac:dyDescent="0.25">
      <c r="A67" s="780" t="s">
        <v>716</v>
      </c>
      <c r="B67" s="433" t="str">
        <f>'ADU-311'!$B$7</f>
        <v>Transport</v>
      </c>
      <c r="C67" s="433" t="str">
        <f>'ADU-311'!$B$8</f>
        <v>Parkings pour Covoiturage</v>
      </c>
      <c r="D67" s="433" t="str">
        <f>'ADU-311'!$C$4</f>
        <v>Transport</v>
      </c>
      <c r="E67" s="433" t="str">
        <f>'ADU-311'!$B$11</f>
        <v>AC HABAY</v>
      </c>
      <c r="F67" s="433" t="str">
        <f>'ADU-311'!$B$5</f>
        <v>Fonds propres</v>
      </c>
      <c r="G67" s="434">
        <f>'ADU-311'!$B$16</f>
        <v>50000</v>
      </c>
      <c r="H67" s="433" t="str">
        <f>'ADU-311'!$B$6</f>
        <v>Pas de subside</v>
      </c>
      <c r="I67" s="434">
        <f>'ADU-311'!$B$17</f>
        <v>0</v>
      </c>
      <c r="J67" s="434">
        <f>'ADU-311'!$B$20</f>
        <v>1</v>
      </c>
      <c r="K67" s="434">
        <f>'ADU-311'!$B$21</f>
        <v>0</v>
      </c>
      <c r="L67" s="435">
        <f>'ADU-311'!$B$23</f>
        <v>50000</v>
      </c>
      <c r="M67" s="453">
        <f>'ADU-311'!$B$18/1000</f>
        <v>0</v>
      </c>
      <c r="N67" s="437"/>
      <c r="O67" s="438" t="str">
        <f>'ADU-311'!$E$5</f>
        <v>A faire</v>
      </c>
      <c r="P67" s="439">
        <f>'ADU-311'!$B$15</f>
        <v>2020</v>
      </c>
      <c r="Q67" s="674">
        <f t="shared" si="0"/>
        <v>0</v>
      </c>
      <c r="R67" s="440">
        <f>IF(O67="Terminé",M67,0)</f>
        <v>0</v>
      </c>
      <c r="S67" s="440">
        <f>IF(D67="Agriculture",R67,0)</f>
        <v>0</v>
      </c>
      <c r="T67" s="440">
        <f>IF(D67="Industrie", R67,0)</f>
        <v>0</v>
      </c>
      <c r="U67" s="440">
        <f>IF(D67="Logement", R67,0)</f>
        <v>0</v>
      </c>
      <c r="V67" s="440">
        <f>IF(D67="Tertiaire",R67,0)</f>
        <v>0</v>
      </c>
      <c r="W67" s="440">
        <f>IF(D67="Transport",R67,0)</f>
        <v>0</v>
      </c>
      <c r="X67" s="440">
        <f>IF(D67="Communal",R67,0)</f>
        <v>0</v>
      </c>
      <c r="Z67" s="501">
        <f t="shared" si="1"/>
        <v>0</v>
      </c>
      <c r="AA67" s="501">
        <f t="shared" si="2"/>
        <v>0</v>
      </c>
      <c r="AB67" s="501">
        <f t="shared" si="3"/>
        <v>0</v>
      </c>
      <c r="AC67" s="501">
        <f t="shared" si="4"/>
        <v>0</v>
      </c>
      <c r="AD67" s="416">
        <f t="shared" si="5"/>
        <v>50000</v>
      </c>
      <c r="AE67" s="501">
        <f t="shared" si="6"/>
        <v>0</v>
      </c>
      <c r="AF67" s="503"/>
      <c r="AG67" s="501">
        <f t="shared" si="7"/>
        <v>0</v>
      </c>
      <c r="AH67" s="501">
        <f t="shared" si="8"/>
        <v>0</v>
      </c>
      <c r="AI67" s="501">
        <f t="shared" si="9"/>
        <v>0</v>
      </c>
      <c r="AJ67" s="501">
        <f t="shared" si="10"/>
        <v>0</v>
      </c>
      <c r="AK67" s="416">
        <f t="shared" si="11"/>
        <v>0</v>
      </c>
      <c r="AL67" s="501">
        <f t="shared" si="12"/>
        <v>0</v>
      </c>
      <c r="AM67" s="244"/>
      <c r="AN67" s="501">
        <f t="shared" si="13"/>
        <v>0</v>
      </c>
      <c r="AO67" s="501">
        <f t="shared" si="14"/>
        <v>0</v>
      </c>
      <c r="AP67" s="501">
        <f t="shared" si="15"/>
        <v>0</v>
      </c>
      <c r="AQ67" s="501">
        <f t="shared" si="16"/>
        <v>0</v>
      </c>
      <c r="AR67" s="501">
        <f t="shared" si="17"/>
        <v>0</v>
      </c>
      <c r="AS67" s="501">
        <f t="shared" si="18"/>
        <v>50000</v>
      </c>
      <c r="AT67" s="501">
        <f t="shared" si="19"/>
        <v>0</v>
      </c>
      <c r="AU67" s="503"/>
      <c r="AV67" s="501">
        <f t="shared" si="20"/>
        <v>0</v>
      </c>
      <c r="AW67" s="501">
        <f t="shared" si="21"/>
        <v>0</v>
      </c>
      <c r="AX67" s="501">
        <f t="shared" si="22"/>
        <v>0</v>
      </c>
      <c r="AY67" s="501">
        <f t="shared" si="23"/>
        <v>0</v>
      </c>
      <c r="AZ67" s="501">
        <f t="shared" si="24"/>
        <v>0</v>
      </c>
      <c r="BA67" s="501">
        <f t="shared" si="25"/>
        <v>0</v>
      </c>
      <c r="BB67" s="501">
        <f t="shared" si="26"/>
        <v>0</v>
      </c>
      <c r="BC67" s="244"/>
      <c r="BD67" s="501">
        <f t="shared" si="27"/>
        <v>0</v>
      </c>
      <c r="BE67" s="501">
        <f t="shared" si="28"/>
        <v>0</v>
      </c>
      <c r="BF67" s="501">
        <f t="shared" si="29"/>
        <v>0</v>
      </c>
      <c r="BG67" s="501">
        <f t="shared" si="30"/>
        <v>0</v>
      </c>
      <c r="BH67" s="501">
        <f t="shared" si="31"/>
        <v>0</v>
      </c>
      <c r="BI67" s="501">
        <f t="shared" si="32"/>
        <v>1</v>
      </c>
      <c r="BJ67" s="501">
        <f t="shared" si="33"/>
        <v>0</v>
      </c>
      <c r="BK67" s="503"/>
      <c r="BL67" s="501">
        <f t="shared" si="34"/>
        <v>0</v>
      </c>
      <c r="BM67" s="501">
        <f t="shared" si="35"/>
        <v>0</v>
      </c>
      <c r="BN67" s="501">
        <f t="shared" si="36"/>
        <v>0</v>
      </c>
      <c r="BO67" s="501">
        <f t="shared" si="37"/>
        <v>0</v>
      </c>
      <c r="BP67" s="501">
        <f t="shared" si="38"/>
        <v>0</v>
      </c>
      <c r="BQ67" s="501">
        <f t="shared" si="39"/>
        <v>0</v>
      </c>
      <c r="BR67" s="501">
        <f t="shared" si="40"/>
        <v>0</v>
      </c>
    </row>
    <row r="68" spans="1:70" s="442" customFormat="1" ht="21" customHeight="1" x14ac:dyDescent="0.25">
      <c r="A68" s="779" t="s">
        <v>144</v>
      </c>
      <c r="B68" s="433" t="str">
        <f>'ADU-32'!$B$7</f>
        <v>Véhicules de service</v>
      </c>
      <c r="C68" s="433" t="str">
        <f>'ADU-32'!$B$8</f>
        <v>Remplacement de 6 véhicules de service par des voitures électriques</v>
      </c>
      <c r="D68" s="433" t="str">
        <f>'ADU-32'!$C$4</f>
        <v>Transport</v>
      </c>
      <c r="E68" s="433" t="str">
        <f>'ADU-32'!$B$11</f>
        <v>AC HABAY</v>
      </c>
      <c r="F68" s="433" t="str">
        <f>'ADU-32'!$B$5</f>
        <v>Fonds propres</v>
      </c>
      <c r="G68" s="434">
        <f>'ADU-32'!$B$16</f>
        <v>180000</v>
      </c>
      <c r="H68" s="433" t="str">
        <f>'ADU-32'!$B$6</f>
        <v>Pas de subside</v>
      </c>
      <c r="I68" s="434">
        <f>'ADU-32'!$B$17</f>
        <v>0</v>
      </c>
      <c r="J68" s="434">
        <f>'ADU-32'!$B$20</f>
        <v>6485.3717617659313</v>
      </c>
      <c r="K68" s="434">
        <f>'ADU-32'!$B$21</f>
        <v>0</v>
      </c>
      <c r="L68" s="435">
        <f>'ADU-32'!$B$23</f>
        <v>9.2515899171310316</v>
      </c>
      <c r="M68" s="453">
        <f>'ADU-32'!$B$18/1000</f>
        <v>34.141224489795917</v>
      </c>
      <c r="N68" s="437"/>
      <c r="O68" s="438" t="str">
        <f>'ADU-32'!$E$5</f>
        <v>En cours</v>
      </c>
      <c r="P68" s="439">
        <f>'ADU-32'!$B$15</f>
        <v>2020</v>
      </c>
      <c r="Q68" s="674">
        <f t="shared" si="0"/>
        <v>0</v>
      </c>
      <c r="R68" s="440">
        <f t="shared" ref="R68:R88" si="238">IF(O68="Terminé",M68,0)</f>
        <v>0</v>
      </c>
      <c r="S68" s="440">
        <f t="shared" ref="S68:S88" si="239">IF(D68="Agriculture",R68,0)</f>
        <v>0</v>
      </c>
      <c r="T68" s="440">
        <f t="shared" ref="T68:T88" si="240">IF(D68="Industrie", R68,0)</f>
        <v>0</v>
      </c>
      <c r="U68" s="440">
        <f t="shared" ref="U68:U88" si="241">IF(D68="Logement", R68,0)</f>
        <v>0</v>
      </c>
      <c r="V68" s="440">
        <f t="shared" ref="V68:V88" si="242">IF(D68="Tertiaire",R68,0)</f>
        <v>0</v>
      </c>
      <c r="W68" s="440">
        <f t="shared" ref="W68:W88" si="243">IF(D68="Transport",R68,0)</f>
        <v>0</v>
      </c>
      <c r="X68" s="440">
        <f t="shared" ref="X68:X88" si="244">IF(D68="Communal",R68,0)</f>
        <v>0</v>
      </c>
      <c r="Z68" s="501">
        <f t="shared" si="1"/>
        <v>0</v>
      </c>
      <c r="AA68" s="501">
        <f t="shared" si="2"/>
        <v>0</v>
      </c>
      <c r="AB68" s="501">
        <f t="shared" si="3"/>
        <v>0</v>
      </c>
      <c r="AC68" s="501">
        <f t="shared" si="4"/>
        <v>0</v>
      </c>
      <c r="AD68" s="416">
        <f t="shared" si="5"/>
        <v>0</v>
      </c>
      <c r="AE68" s="501">
        <f t="shared" si="6"/>
        <v>0</v>
      </c>
      <c r="AF68" s="503"/>
      <c r="AG68" s="501">
        <f t="shared" si="7"/>
        <v>0</v>
      </c>
      <c r="AH68" s="501">
        <f t="shared" si="8"/>
        <v>0</v>
      </c>
      <c r="AI68" s="501">
        <f t="shared" si="9"/>
        <v>0</v>
      </c>
      <c r="AJ68" s="501">
        <f t="shared" si="10"/>
        <v>0</v>
      </c>
      <c r="AK68" s="416">
        <f t="shared" si="11"/>
        <v>0</v>
      </c>
      <c r="AL68" s="501">
        <f t="shared" si="12"/>
        <v>0</v>
      </c>
      <c r="AM68" s="244"/>
      <c r="AN68" s="501">
        <f t="shared" si="13"/>
        <v>0</v>
      </c>
      <c r="AO68" s="501">
        <f t="shared" si="14"/>
        <v>0</v>
      </c>
      <c r="AP68" s="501">
        <f t="shared" si="15"/>
        <v>0</v>
      </c>
      <c r="AQ68" s="501">
        <f t="shared" si="16"/>
        <v>0</v>
      </c>
      <c r="AR68" s="501">
        <f t="shared" si="17"/>
        <v>0</v>
      </c>
      <c r="AS68" s="501">
        <f t="shared" si="18"/>
        <v>0</v>
      </c>
      <c r="AT68" s="501">
        <f t="shared" si="19"/>
        <v>0</v>
      </c>
      <c r="AU68" s="503"/>
      <c r="AV68" s="501">
        <f t="shared" si="20"/>
        <v>0</v>
      </c>
      <c r="AW68" s="501">
        <f t="shared" si="21"/>
        <v>0</v>
      </c>
      <c r="AX68" s="501">
        <f t="shared" si="22"/>
        <v>0</v>
      </c>
      <c r="AY68" s="501">
        <f t="shared" si="23"/>
        <v>0</v>
      </c>
      <c r="AZ68" s="501">
        <f t="shared" si="24"/>
        <v>0</v>
      </c>
      <c r="BA68" s="501">
        <f t="shared" si="25"/>
        <v>0</v>
      </c>
      <c r="BB68" s="501">
        <f t="shared" si="26"/>
        <v>0</v>
      </c>
      <c r="BC68" s="244"/>
      <c r="BD68" s="501">
        <f t="shared" si="27"/>
        <v>0</v>
      </c>
      <c r="BE68" s="501">
        <f t="shared" si="28"/>
        <v>0</v>
      </c>
      <c r="BF68" s="501">
        <f t="shared" si="29"/>
        <v>0</v>
      </c>
      <c r="BG68" s="501">
        <f t="shared" si="30"/>
        <v>0</v>
      </c>
      <c r="BH68" s="501">
        <f t="shared" si="31"/>
        <v>0</v>
      </c>
      <c r="BI68" s="501">
        <f t="shared" si="32"/>
        <v>0</v>
      </c>
      <c r="BJ68" s="501">
        <f t="shared" si="33"/>
        <v>0</v>
      </c>
      <c r="BK68" s="503"/>
      <c r="BL68" s="501">
        <f t="shared" si="34"/>
        <v>0</v>
      </c>
      <c r="BM68" s="501">
        <f t="shared" si="35"/>
        <v>0</v>
      </c>
      <c r="BN68" s="501">
        <f t="shared" si="36"/>
        <v>0</v>
      </c>
      <c r="BO68" s="501">
        <f t="shared" si="37"/>
        <v>0</v>
      </c>
      <c r="BP68" s="501">
        <f t="shared" si="38"/>
        <v>0</v>
      </c>
      <c r="BQ68" s="501">
        <f t="shared" si="39"/>
        <v>0</v>
      </c>
      <c r="BR68" s="501">
        <f t="shared" si="40"/>
        <v>0</v>
      </c>
    </row>
    <row r="69" spans="1:70" s="442" customFormat="1" ht="20.25" customHeight="1" x14ac:dyDescent="0.25">
      <c r="A69" s="779" t="s">
        <v>146</v>
      </c>
      <c r="B69" s="433" t="str">
        <f>'ADU-33'!$B$7</f>
        <v>Voitures électriques</v>
      </c>
      <c r="C69" s="433" t="str">
        <f>'ADU-33'!$B$8</f>
        <v>Remplacement de 60 véhicules privés par des voitures électriques</v>
      </c>
      <c r="D69" s="433" t="str">
        <f>'ADU-33'!$C$4</f>
        <v>Transport</v>
      </c>
      <c r="E69" s="433" t="str">
        <f>'ADU-33'!$B$11</f>
        <v>Citoyen</v>
      </c>
      <c r="F69" s="433" t="str">
        <f>'ADU-33'!$B$5</f>
        <v>Prêt bancaire</v>
      </c>
      <c r="G69" s="434">
        <f>'ADU-33'!$B$16</f>
        <v>1500000</v>
      </c>
      <c r="H69" s="433" t="str">
        <f>'ADU-33'!$B$6</f>
        <v>Pas de subside</v>
      </c>
      <c r="I69" s="434">
        <f>'ADU-33'!$B$17</f>
        <v>0</v>
      </c>
      <c r="J69" s="434">
        <f>'ADU-33'!$B$20</f>
        <v>64853.717617659306</v>
      </c>
      <c r="K69" s="434">
        <f>'ADU-33'!$B$21</f>
        <v>0</v>
      </c>
      <c r="L69" s="435">
        <f>'ADU-33'!$B$23</f>
        <v>4.6257949585655158</v>
      </c>
      <c r="M69" s="453">
        <f>'ADU-33'!$B$18/1000</f>
        <v>341.41224489795917</v>
      </c>
      <c r="N69" s="437"/>
      <c r="O69" s="438" t="str">
        <f>'ADU-33'!$E$5</f>
        <v>En cours</v>
      </c>
      <c r="P69" s="439">
        <f>'ADU-33'!$B$15</f>
        <v>2020</v>
      </c>
      <c r="Q69" s="674">
        <f t="shared" si="0"/>
        <v>0</v>
      </c>
      <c r="R69" s="440">
        <f t="shared" si="238"/>
        <v>0</v>
      </c>
      <c r="S69" s="440">
        <f t="shared" si="239"/>
        <v>0</v>
      </c>
      <c r="T69" s="440">
        <f t="shared" si="240"/>
        <v>0</v>
      </c>
      <c r="U69" s="440">
        <f t="shared" si="241"/>
        <v>0</v>
      </c>
      <c r="V69" s="440">
        <f t="shared" si="242"/>
        <v>0</v>
      </c>
      <c r="W69" s="440">
        <f t="shared" si="243"/>
        <v>0</v>
      </c>
      <c r="X69" s="440">
        <f t="shared" si="244"/>
        <v>0</v>
      </c>
      <c r="Z69" s="501">
        <f t="shared" si="1"/>
        <v>0</v>
      </c>
      <c r="AA69" s="501">
        <f t="shared" si="2"/>
        <v>0</v>
      </c>
      <c r="AB69" s="501">
        <f t="shared" si="3"/>
        <v>0</v>
      </c>
      <c r="AC69" s="501">
        <f t="shared" si="4"/>
        <v>0</v>
      </c>
      <c r="AD69" s="416">
        <f t="shared" si="5"/>
        <v>0</v>
      </c>
      <c r="AE69" s="501">
        <f t="shared" si="6"/>
        <v>0</v>
      </c>
      <c r="AF69" s="503"/>
      <c r="AG69" s="501">
        <f t="shared" si="7"/>
        <v>0</v>
      </c>
      <c r="AH69" s="501">
        <f t="shared" si="8"/>
        <v>0</v>
      </c>
      <c r="AI69" s="501">
        <f t="shared" si="9"/>
        <v>0</v>
      </c>
      <c r="AJ69" s="501">
        <f t="shared" si="10"/>
        <v>0</v>
      </c>
      <c r="AK69" s="416">
        <f t="shared" si="11"/>
        <v>0</v>
      </c>
      <c r="AL69" s="501">
        <f t="shared" si="12"/>
        <v>0</v>
      </c>
      <c r="AM69" s="244"/>
      <c r="AN69" s="501">
        <f t="shared" si="13"/>
        <v>0</v>
      </c>
      <c r="AO69" s="501">
        <f t="shared" si="14"/>
        <v>0</v>
      </c>
      <c r="AP69" s="501">
        <f t="shared" si="15"/>
        <v>0</v>
      </c>
      <c r="AQ69" s="501">
        <f t="shared" si="16"/>
        <v>0</v>
      </c>
      <c r="AR69" s="501">
        <f t="shared" si="17"/>
        <v>0</v>
      </c>
      <c r="AS69" s="501">
        <f t="shared" si="18"/>
        <v>0</v>
      </c>
      <c r="AT69" s="501">
        <f t="shared" si="19"/>
        <v>0</v>
      </c>
      <c r="AU69" s="503"/>
      <c r="AV69" s="501">
        <f t="shared" si="20"/>
        <v>0</v>
      </c>
      <c r="AW69" s="501">
        <f t="shared" si="21"/>
        <v>0</v>
      </c>
      <c r="AX69" s="501">
        <f t="shared" si="22"/>
        <v>0</v>
      </c>
      <c r="AY69" s="501">
        <f t="shared" si="23"/>
        <v>0</v>
      </c>
      <c r="AZ69" s="501">
        <f t="shared" si="24"/>
        <v>0</v>
      </c>
      <c r="BA69" s="501">
        <f t="shared" si="25"/>
        <v>0</v>
      </c>
      <c r="BB69" s="501">
        <f t="shared" si="26"/>
        <v>0</v>
      </c>
      <c r="BC69" s="244"/>
      <c r="BD69" s="501">
        <f t="shared" si="27"/>
        <v>0</v>
      </c>
      <c r="BE69" s="501">
        <f t="shared" si="28"/>
        <v>0</v>
      </c>
      <c r="BF69" s="501">
        <f t="shared" si="29"/>
        <v>0</v>
      </c>
      <c r="BG69" s="501">
        <f t="shared" si="30"/>
        <v>0</v>
      </c>
      <c r="BH69" s="501">
        <f t="shared" si="31"/>
        <v>0</v>
      </c>
      <c r="BI69" s="501">
        <f t="shared" si="32"/>
        <v>0</v>
      </c>
      <c r="BJ69" s="501">
        <f t="shared" si="33"/>
        <v>0</v>
      </c>
      <c r="BK69" s="503"/>
      <c r="BL69" s="501">
        <f t="shared" si="34"/>
        <v>0</v>
      </c>
      <c r="BM69" s="501">
        <f t="shared" si="35"/>
        <v>0</v>
      </c>
      <c r="BN69" s="501">
        <f t="shared" si="36"/>
        <v>0</v>
      </c>
      <c r="BO69" s="501">
        <f t="shared" si="37"/>
        <v>0</v>
      </c>
      <c r="BP69" s="501">
        <f t="shared" si="38"/>
        <v>0</v>
      </c>
      <c r="BQ69" s="501">
        <f t="shared" si="39"/>
        <v>0</v>
      </c>
      <c r="BR69" s="501">
        <f t="shared" si="40"/>
        <v>0</v>
      </c>
    </row>
    <row r="70" spans="1:70" s="442" customFormat="1" ht="20.25" customHeight="1" x14ac:dyDescent="0.25">
      <c r="A70" s="677" t="s">
        <v>862</v>
      </c>
      <c r="B70" s="433" t="str">
        <f>'ADU-331'!$B$7</f>
        <v>Ménages - Mobilité</v>
      </c>
      <c r="C70" s="433" t="str">
        <f>'ADU-331'!$B$8</f>
        <v>Véhicules  hybrides</v>
      </c>
      <c r="D70" s="433" t="str">
        <f>'ADU-331'!$C$4</f>
        <v>Transport</v>
      </c>
      <c r="E70" s="433" t="str">
        <f>'ADU-331'!$B$11</f>
        <v>Citoyen</v>
      </c>
      <c r="F70" s="433" t="str">
        <f>'ADU-331'!$B$5</f>
        <v>Prêt bancaire</v>
      </c>
      <c r="G70" s="434">
        <f>'ADU-331'!$B$16</f>
        <v>568630.16870924423</v>
      </c>
      <c r="H70" s="433" t="str">
        <f>'ADU-331'!$B$6</f>
        <v>Pas de subside</v>
      </c>
      <c r="I70" s="434">
        <f>'ADU-331'!$B$17</f>
        <v>0</v>
      </c>
      <c r="J70" s="434">
        <f>'ADU-331'!$B$20</f>
        <v>27506.098294685278</v>
      </c>
      <c r="K70" s="434">
        <f>'ADU-331'!$B$21</f>
        <v>0</v>
      </c>
      <c r="L70" s="435">
        <f>'ADU-331'!$B$23</f>
        <v>2.2969862602719839</v>
      </c>
      <c r="M70" s="453">
        <f>'ADU-331'!$B$24</f>
        <v>19.157576856440965</v>
      </c>
      <c r="N70" s="437"/>
      <c r="O70" s="438" t="str">
        <f>'ADU-331'!$E$5</f>
        <v>Terminé</v>
      </c>
      <c r="P70" s="439">
        <f>'ADU-331'!$B$15</f>
        <v>2016</v>
      </c>
      <c r="Q70" s="674">
        <f t="shared" ref="Q70:Q71" si="245">IF(O70="Terminé",M70,0)</f>
        <v>19.157576856440965</v>
      </c>
      <c r="R70" s="440">
        <f t="shared" ref="R70:R71" si="246">IF(O70="Terminé",M70,0)</f>
        <v>19.157576856440965</v>
      </c>
      <c r="S70" s="440">
        <f t="shared" ref="S70:S71" si="247">IF(D70="Agriculture",R70,0)</f>
        <v>0</v>
      </c>
      <c r="T70" s="440">
        <f t="shared" ref="T70:T71" si="248">IF(D70="Industrie", R70,0)</f>
        <v>0</v>
      </c>
      <c r="U70" s="440">
        <f t="shared" ref="U70:U71" si="249">IF(D70="Logement", R70,0)</f>
        <v>0</v>
      </c>
      <c r="V70" s="440">
        <f t="shared" ref="V70:V71" si="250">IF(D70="Tertiaire",R70,0)</f>
        <v>0</v>
      </c>
      <c r="W70" s="440">
        <f t="shared" ref="W70:W71" si="251">IF(D70="Transport",R70,0)</f>
        <v>19.157576856440965</v>
      </c>
      <c r="X70" s="440">
        <f t="shared" ref="X70:X71" si="252">IF(D70="Communal",R70,0)</f>
        <v>0</v>
      </c>
      <c r="Z70" s="501">
        <f t="shared" ref="Z70:Z71" si="253">IF((O70="A faire")*AND(E70="Agriculture"),G70,0)</f>
        <v>0</v>
      </c>
      <c r="AA70" s="501">
        <f t="shared" ref="AA70:AA71" si="254">IF((O70="A faire")*AND(E70="Industrie"),G70,0)</f>
        <v>0</v>
      </c>
      <c r="AB70" s="501">
        <f t="shared" ref="AB70:AB71" si="255">IF((O70="A faire")*AND(E70="Citoyen"),G70,0)</f>
        <v>0</v>
      </c>
      <c r="AC70" s="501">
        <f t="shared" ref="AC70:AC71" si="256">IF((O70="A faire")*AND(E70="IDELUX"),G70,0)</f>
        <v>0</v>
      </c>
      <c r="AD70" s="416">
        <f t="shared" ref="AD70:AD71" si="257">IF((O70="A faire")*AND(E70="AC HABAY"),G70,0)</f>
        <v>0</v>
      </c>
      <c r="AE70" s="501">
        <f t="shared" ref="AE70:AE71" si="258">IF((O70="A faire")*AND(E70="Tertiaire"),G70,0)</f>
        <v>0</v>
      </c>
      <c r="AF70" s="503"/>
      <c r="AG70" s="501">
        <f t="shared" ref="AG70:AG71" si="259">IF((O70="A faire")*AND(E70="Agriculture"),I70,0)</f>
        <v>0</v>
      </c>
      <c r="AH70" s="501">
        <f t="shared" ref="AH70:AH71" si="260">IF((O70="A faire")*AND(E70="Industrie"),I70,0)</f>
        <v>0</v>
      </c>
      <c r="AI70" s="501">
        <f t="shared" ref="AI70:AI71" si="261">IF((O70="A faire")*AND(E70="Citoyen"),I70,0)</f>
        <v>0</v>
      </c>
      <c r="AJ70" s="501">
        <f t="shared" ref="AJ70:AJ71" si="262">IF((O70="A faire")*AND(E70="IDELUX"),I70,0)</f>
        <v>0</v>
      </c>
      <c r="AK70" s="416">
        <f t="shared" ref="AK70:AK71" si="263">IF((O70="A faire")*AND(E70="AC HABAY"),I70,0)</f>
        <v>0</v>
      </c>
      <c r="AL70" s="501">
        <f t="shared" ref="AL70:AL71" si="264">IF((O70="A faire")*AND(E70="Tertiaire"),I70,0)</f>
        <v>0</v>
      </c>
      <c r="AM70" s="244"/>
      <c r="AN70" s="501">
        <f t="shared" ref="AN70:AN71" si="265">IF((O70="A faire")*AND(D70="Territoire"),G70,0)</f>
        <v>0</v>
      </c>
      <c r="AO70" s="501">
        <f t="shared" ref="AO70:AO71" si="266">IF((O70="A faire")*AND(D70="Agriculture"),G70,0)</f>
        <v>0</v>
      </c>
      <c r="AP70" s="501">
        <f t="shared" ref="AP70:AP71" si="267">IF((O70="A faire")*AND(D70="Industrie"),G70,0)</f>
        <v>0</v>
      </c>
      <c r="AQ70" s="501">
        <f t="shared" ref="AQ70:AQ71" si="268">IF((O70="A faire")*AND(D70="Logement"),G70,0)</f>
        <v>0</v>
      </c>
      <c r="AR70" s="501">
        <f t="shared" ref="AR70:AR71" si="269">IF((O70="A faire")*AND(D70="Tertiaire"),G70,0)</f>
        <v>0</v>
      </c>
      <c r="AS70" s="501">
        <f t="shared" ref="AS70:AS71" si="270">IF((O70="A faire")*AND(D70="Transport"),G70,0)</f>
        <v>0</v>
      </c>
      <c r="AT70" s="501">
        <f t="shared" ref="AT70:AT71" si="271">IF((O70="A faire")*AND(D70="Communal"),G70,0)</f>
        <v>0</v>
      </c>
      <c r="AU70" s="503"/>
      <c r="AV70" s="501">
        <f t="shared" ref="AV70:AV71" si="272">IF((O70="A faire")*AND(D70="Territoire"),I70,0)</f>
        <v>0</v>
      </c>
      <c r="AW70" s="501">
        <f t="shared" ref="AW70:AW71" si="273">IF((O70="A faire")*AND(D70="Agriculture"),I70,0)</f>
        <v>0</v>
      </c>
      <c r="AX70" s="501">
        <f t="shared" ref="AX70:AX71" si="274">IF((O70="A faire")*AND(D70="Industrie"),I70,0)</f>
        <v>0</v>
      </c>
      <c r="AY70" s="501">
        <f t="shared" ref="AY70:AY71" si="275">IF((O70="A faire")*AND(D70="Logement"),I70,0)</f>
        <v>0</v>
      </c>
      <c r="AZ70" s="501">
        <f t="shared" ref="AZ70:AZ71" si="276">IF((O70="A faire")*AND(D70="Tertiaire"),I70,0)</f>
        <v>0</v>
      </c>
      <c r="BA70" s="501">
        <f t="shared" ref="BA70:BA71" si="277">IF((O70="A faire")*AND(D70="Transport"),I70,0)</f>
        <v>0</v>
      </c>
      <c r="BB70" s="501">
        <f t="shared" ref="BB70:BB71" si="278">IF((O70="A faire")*AND(D70="Communal"),I70,0)</f>
        <v>0</v>
      </c>
      <c r="BC70" s="244"/>
      <c r="BD70" s="501">
        <f t="shared" ref="BD70:BD71" si="279">IF((O70="A faire")*AND(D70="Territoire"),J70,0)</f>
        <v>0</v>
      </c>
      <c r="BE70" s="501">
        <f t="shared" ref="BE70:BE71" si="280">IF((O70="A faire")*AND(D70="Agriculture"),J70,0)</f>
        <v>0</v>
      </c>
      <c r="BF70" s="501">
        <f t="shared" ref="BF70:BF71" si="281">IF((O70="A faire")*AND(D70="Industrie"),J70,0)</f>
        <v>0</v>
      </c>
      <c r="BG70" s="501">
        <f t="shared" ref="BG70:BG71" si="282">IF((O70="A faire")*AND(D70="Logement"),J70,0)</f>
        <v>0</v>
      </c>
      <c r="BH70" s="501">
        <f t="shared" ref="BH70:BH71" si="283">IF((O70="A faire")*AND(D70="Tertiaire"),2,0)</f>
        <v>0</v>
      </c>
      <c r="BI70" s="501">
        <f t="shared" ref="BI70:BI71" si="284">IF((O70="A faire")*AND(D70="Transport"),J70,0)</f>
        <v>0</v>
      </c>
      <c r="BJ70" s="501">
        <f t="shared" ref="BJ70:BJ71" si="285">IF((O70="A faire")*AND(D70="Communal"),J70,0)</f>
        <v>0</v>
      </c>
      <c r="BK70" s="503"/>
      <c r="BL70" s="501">
        <f t="shared" ref="BL70:BL71" si="286">IF((O70="A faire")*AND(D70="Territoire"),K70,0)</f>
        <v>0</v>
      </c>
      <c r="BM70" s="501">
        <f t="shared" ref="BM70:BM71" si="287">IF((O70="A faire")*AND(D70="Agriculture"),K70,0)</f>
        <v>0</v>
      </c>
      <c r="BN70" s="501">
        <f t="shared" ref="BN70:BN71" si="288">IF((O70="A faire")*AND(D70="Industrie"),K70,0)</f>
        <v>0</v>
      </c>
      <c r="BO70" s="501">
        <f t="shared" ref="BO70:BO71" si="289">IF((O70="A faire")*AND(D70="Logement"),K70,0)</f>
        <v>0</v>
      </c>
      <c r="BP70" s="501">
        <f t="shared" ref="BP70:BP71" si="290">IF((O70="A faire")*AND(D70="Tertiaire"),K70,0)</f>
        <v>0</v>
      </c>
      <c r="BQ70" s="501">
        <f t="shared" ref="BQ70:BQ71" si="291">IF((O70="A faire")*AND(D70="Transport"),K70,0)</f>
        <v>0</v>
      </c>
      <c r="BR70" s="501">
        <f t="shared" ref="BR70:BR71" si="292">IF((O70="A faire")*AND(D70="Communal"),K70,0)</f>
        <v>0</v>
      </c>
    </row>
    <row r="71" spans="1:70" s="442" customFormat="1" ht="20.25" customHeight="1" x14ac:dyDescent="0.25">
      <c r="A71" s="677" t="s">
        <v>863</v>
      </c>
      <c r="B71" s="433" t="str">
        <f>'ADU-333'!$B$7</f>
        <v>Ménages - Mobilité</v>
      </c>
      <c r="C71" s="433" t="str">
        <f>'ADU-333'!$B$8</f>
        <v>Véhicules CNG</v>
      </c>
      <c r="D71" s="433" t="str">
        <f>'ADU-333'!$C$4</f>
        <v>Transport</v>
      </c>
      <c r="E71" s="433" t="str">
        <f>'ADU-333'!$B$11</f>
        <v>Citoyen</v>
      </c>
      <c r="F71" s="433" t="str">
        <f>'ADU-333'!$B$5</f>
        <v>Prêt bancaire</v>
      </c>
      <c r="G71" s="434">
        <f>'ADU-333'!$B$16</f>
        <v>1100000</v>
      </c>
      <c r="H71" s="433" t="str">
        <f>'ADU-333'!$B$6</f>
        <v>Pas de subside</v>
      </c>
      <c r="I71" s="434">
        <f>'ADU-333'!$B$17</f>
        <v>0</v>
      </c>
      <c r="J71" s="434">
        <f>'ADU-333'!$B$20</f>
        <v>48793.5</v>
      </c>
      <c r="K71" s="434">
        <f>'ADU-333'!$B$21</f>
        <v>0</v>
      </c>
      <c r="L71" s="435">
        <f>'ADU-333'!$B$23</f>
        <v>2.0494533083300031</v>
      </c>
      <c r="M71" s="453">
        <f>'ADU-333'!$B$24</f>
        <v>26.999070000000003</v>
      </c>
      <c r="N71" s="437"/>
      <c r="O71" s="438" t="str">
        <f>'ADU-333'!$E$5</f>
        <v>A faire</v>
      </c>
      <c r="P71" s="439">
        <f>'ADU-333'!$B$15</f>
        <v>2020</v>
      </c>
      <c r="Q71" s="674">
        <f t="shared" si="245"/>
        <v>0</v>
      </c>
      <c r="R71" s="440">
        <f t="shared" si="246"/>
        <v>0</v>
      </c>
      <c r="S71" s="440">
        <f t="shared" si="247"/>
        <v>0</v>
      </c>
      <c r="T71" s="440">
        <f t="shared" si="248"/>
        <v>0</v>
      </c>
      <c r="U71" s="440">
        <f t="shared" si="249"/>
        <v>0</v>
      </c>
      <c r="V71" s="440">
        <f t="shared" si="250"/>
        <v>0</v>
      </c>
      <c r="W71" s="440">
        <f t="shared" si="251"/>
        <v>0</v>
      </c>
      <c r="X71" s="440">
        <f t="shared" si="252"/>
        <v>0</v>
      </c>
      <c r="Z71" s="501">
        <f t="shared" si="253"/>
        <v>0</v>
      </c>
      <c r="AA71" s="501">
        <f t="shared" si="254"/>
        <v>0</v>
      </c>
      <c r="AB71" s="501">
        <f t="shared" si="255"/>
        <v>1100000</v>
      </c>
      <c r="AC71" s="501">
        <f t="shared" si="256"/>
        <v>0</v>
      </c>
      <c r="AD71" s="416">
        <f t="shared" si="257"/>
        <v>0</v>
      </c>
      <c r="AE71" s="501">
        <f t="shared" si="258"/>
        <v>0</v>
      </c>
      <c r="AF71" s="503"/>
      <c r="AG71" s="501">
        <f t="shared" si="259"/>
        <v>0</v>
      </c>
      <c r="AH71" s="501">
        <f t="shared" si="260"/>
        <v>0</v>
      </c>
      <c r="AI71" s="501">
        <f t="shared" si="261"/>
        <v>0</v>
      </c>
      <c r="AJ71" s="501">
        <f t="shared" si="262"/>
        <v>0</v>
      </c>
      <c r="AK71" s="416">
        <f t="shared" si="263"/>
        <v>0</v>
      </c>
      <c r="AL71" s="501">
        <f t="shared" si="264"/>
        <v>0</v>
      </c>
      <c r="AM71" s="244"/>
      <c r="AN71" s="501">
        <f t="shared" si="265"/>
        <v>0</v>
      </c>
      <c r="AO71" s="501">
        <f t="shared" si="266"/>
        <v>0</v>
      </c>
      <c r="AP71" s="501">
        <f t="shared" si="267"/>
        <v>0</v>
      </c>
      <c r="AQ71" s="501">
        <f t="shared" si="268"/>
        <v>0</v>
      </c>
      <c r="AR71" s="501">
        <f t="shared" si="269"/>
        <v>0</v>
      </c>
      <c r="AS71" s="501">
        <f t="shared" si="270"/>
        <v>1100000</v>
      </c>
      <c r="AT71" s="501">
        <f t="shared" si="271"/>
        <v>0</v>
      </c>
      <c r="AU71" s="503"/>
      <c r="AV71" s="501">
        <f t="shared" si="272"/>
        <v>0</v>
      </c>
      <c r="AW71" s="501">
        <f t="shared" si="273"/>
        <v>0</v>
      </c>
      <c r="AX71" s="501">
        <f t="shared" si="274"/>
        <v>0</v>
      </c>
      <c r="AY71" s="501">
        <f t="shared" si="275"/>
        <v>0</v>
      </c>
      <c r="AZ71" s="501">
        <f t="shared" si="276"/>
        <v>0</v>
      </c>
      <c r="BA71" s="501">
        <f t="shared" si="277"/>
        <v>0</v>
      </c>
      <c r="BB71" s="501">
        <f t="shared" si="278"/>
        <v>0</v>
      </c>
      <c r="BC71" s="244"/>
      <c r="BD71" s="501">
        <f t="shared" si="279"/>
        <v>0</v>
      </c>
      <c r="BE71" s="501">
        <f t="shared" si="280"/>
        <v>0</v>
      </c>
      <c r="BF71" s="501">
        <f t="shared" si="281"/>
        <v>0</v>
      </c>
      <c r="BG71" s="501">
        <f t="shared" si="282"/>
        <v>0</v>
      </c>
      <c r="BH71" s="501">
        <f t="shared" si="283"/>
        <v>0</v>
      </c>
      <c r="BI71" s="501">
        <f t="shared" si="284"/>
        <v>48793.5</v>
      </c>
      <c r="BJ71" s="501">
        <f t="shared" si="285"/>
        <v>0</v>
      </c>
      <c r="BK71" s="503"/>
      <c r="BL71" s="501">
        <f t="shared" si="286"/>
        <v>0</v>
      </c>
      <c r="BM71" s="501">
        <f t="shared" si="287"/>
        <v>0</v>
      </c>
      <c r="BN71" s="501">
        <f t="shared" si="288"/>
        <v>0</v>
      </c>
      <c r="BO71" s="501">
        <f t="shared" si="289"/>
        <v>0</v>
      </c>
      <c r="BP71" s="501">
        <f t="shared" si="290"/>
        <v>0</v>
      </c>
      <c r="BQ71" s="501">
        <f t="shared" si="291"/>
        <v>0</v>
      </c>
      <c r="BR71" s="501">
        <f t="shared" si="292"/>
        <v>0</v>
      </c>
    </row>
    <row r="72" spans="1:70" s="442" customFormat="1" ht="20.25" customHeight="1" x14ac:dyDescent="0.25">
      <c r="A72" s="647" t="s">
        <v>998</v>
      </c>
      <c r="B72" s="433" t="str">
        <f>'ADU-333'!$B$7</f>
        <v>Ménages - Mobilité</v>
      </c>
      <c r="C72" s="433" t="str">
        <f>'ADU-333'!$B$8</f>
        <v>Véhicules CNG</v>
      </c>
      <c r="D72" s="433" t="str">
        <f>'ADU-333'!$C$4</f>
        <v>Transport</v>
      </c>
      <c r="E72" s="433" t="str">
        <f>'ADU-333'!$B$11</f>
        <v>Citoyen</v>
      </c>
      <c r="F72" s="433" t="str">
        <f>'ADU-333'!$B$5</f>
        <v>Prêt bancaire</v>
      </c>
      <c r="G72" s="434">
        <f>'ADU-333'!$B$16</f>
        <v>1100000</v>
      </c>
      <c r="H72" s="433" t="str">
        <f>'ADU-333'!$B$6</f>
        <v>Pas de subside</v>
      </c>
      <c r="I72" s="434">
        <f>'ADU-333'!$B$17</f>
        <v>0</v>
      </c>
      <c r="J72" s="434">
        <f>'ADU-333'!$B$20</f>
        <v>48793.5</v>
      </c>
      <c r="K72" s="434">
        <f>'ADU-333'!$B$21</f>
        <v>0</v>
      </c>
      <c r="L72" s="435">
        <f>'ADU-333'!$B$23</f>
        <v>2.0494533083300031</v>
      </c>
      <c r="M72" s="453">
        <f>'ADU-333'!$B$24</f>
        <v>26.999070000000003</v>
      </c>
      <c r="N72" s="437"/>
      <c r="O72" s="438" t="str">
        <f>'ADU-333'!$E$5</f>
        <v>A faire</v>
      </c>
      <c r="P72" s="439">
        <f>'ADU-333'!$B$15</f>
        <v>2020</v>
      </c>
      <c r="Q72" s="674">
        <f t="shared" ref="Q72" si="293">IF(O72="Terminé",M72,0)</f>
        <v>0</v>
      </c>
      <c r="R72" s="440">
        <f t="shared" ref="R72" si="294">IF(O72="Terminé",M72,0)</f>
        <v>0</v>
      </c>
      <c r="S72" s="440">
        <f t="shared" ref="S72" si="295">IF(D72="Agriculture",R72,0)</f>
        <v>0</v>
      </c>
      <c r="T72" s="440">
        <f t="shared" ref="T72" si="296">IF(D72="Industrie", R72,0)</f>
        <v>0</v>
      </c>
      <c r="U72" s="440">
        <f t="shared" ref="U72" si="297">IF(D72="Logement", R72,0)</f>
        <v>0</v>
      </c>
      <c r="V72" s="440">
        <f t="shared" ref="V72" si="298">IF(D72="Tertiaire",R72,0)</f>
        <v>0</v>
      </c>
      <c r="W72" s="440">
        <f t="shared" ref="W72" si="299">IF(D72="Transport",R72,0)</f>
        <v>0</v>
      </c>
      <c r="X72" s="440">
        <f t="shared" ref="X72" si="300">IF(D72="Communal",R72,0)</f>
        <v>0</v>
      </c>
      <c r="Z72" s="501">
        <f t="shared" ref="Z72" si="301">IF((O72="A faire")*AND(E72="Agriculture"),G72,0)</f>
        <v>0</v>
      </c>
      <c r="AA72" s="501">
        <f t="shared" ref="AA72" si="302">IF((O72="A faire")*AND(E72="Industrie"),G72,0)</f>
        <v>0</v>
      </c>
      <c r="AB72" s="501">
        <f t="shared" ref="AB72" si="303">IF((O72="A faire")*AND(E72="Citoyen"),G72,0)</f>
        <v>1100000</v>
      </c>
      <c r="AC72" s="501">
        <f t="shared" ref="AC72" si="304">IF((O72="A faire")*AND(E72="IDELUX"),G72,0)</f>
        <v>0</v>
      </c>
      <c r="AD72" s="416">
        <f t="shared" ref="AD72" si="305">IF((O72="A faire")*AND(E72="AC HABAY"),G72,0)</f>
        <v>0</v>
      </c>
      <c r="AE72" s="501">
        <f t="shared" ref="AE72" si="306">IF((O72="A faire")*AND(E72="Tertiaire"),G72,0)</f>
        <v>0</v>
      </c>
      <c r="AF72" s="503"/>
      <c r="AG72" s="501">
        <f t="shared" ref="AG72" si="307">IF((O72="A faire")*AND(E72="Agriculture"),I72,0)</f>
        <v>0</v>
      </c>
      <c r="AH72" s="501">
        <f t="shared" ref="AH72" si="308">IF((O72="A faire")*AND(E72="Industrie"),I72,0)</f>
        <v>0</v>
      </c>
      <c r="AI72" s="501">
        <f t="shared" ref="AI72" si="309">IF((O72="A faire")*AND(E72="Citoyen"),I72,0)</f>
        <v>0</v>
      </c>
      <c r="AJ72" s="501">
        <f t="shared" ref="AJ72" si="310">IF((O72="A faire")*AND(E72="IDELUX"),I72,0)</f>
        <v>0</v>
      </c>
      <c r="AK72" s="416">
        <f t="shared" ref="AK72" si="311">IF((O72="A faire")*AND(E72="AC HABAY"),I72,0)</f>
        <v>0</v>
      </c>
      <c r="AL72" s="501">
        <f t="shared" ref="AL72" si="312">IF((O72="A faire")*AND(E72="Tertiaire"),I72,0)</f>
        <v>0</v>
      </c>
      <c r="AM72" s="244"/>
      <c r="AN72" s="501">
        <f t="shared" ref="AN72" si="313">IF((O72="A faire")*AND(D72="Territoire"),G72,0)</f>
        <v>0</v>
      </c>
      <c r="AO72" s="501">
        <f t="shared" ref="AO72" si="314">IF((O72="A faire")*AND(D72="Agriculture"),G72,0)</f>
        <v>0</v>
      </c>
      <c r="AP72" s="501">
        <f t="shared" ref="AP72" si="315">IF((O72="A faire")*AND(D72="Industrie"),G72,0)</f>
        <v>0</v>
      </c>
      <c r="AQ72" s="501">
        <f t="shared" ref="AQ72" si="316">IF((O72="A faire")*AND(D72="Logement"),G72,0)</f>
        <v>0</v>
      </c>
      <c r="AR72" s="501">
        <f t="shared" ref="AR72" si="317">IF((O72="A faire")*AND(D72="Tertiaire"),G72,0)</f>
        <v>0</v>
      </c>
      <c r="AS72" s="501">
        <f t="shared" ref="AS72" si="318">IF((O72="A faire")*AND(D72="Transport"),G72,0)</f>
        <v>1100000</v>
      </c>
      <c r="AT72" s="501">
        <f t="shared" ref="AT72" si="319">IF((O72="A faire")*AND(D72="Communal"),G72,0)</f>
        <v>0</v>
      </c>
      <c r="AU72" s="503"/>
      <c r="AV72" s="501">
        <f t="shared" ref="AV72" si="320">IF((O72="A faire")*AND(D72="Territoire"),I72,0)</f>
        <v>0</v>
      </c>
      <c r="AW72" s="501">
        <f t="shared" ref="AW72" si="321">IF((O72="A faire")*AND(D72="Agriculture"),I72,0)</f>
        <v>0</v>
      </c>
      <c r="AX72" s="501">
        <f t="shared" ref="AX72" si="322">IF((O72="A faire")*AND(D72="Industrie"),I72,0)</f>
        <v>0</v>
      </c>
      <c r="AY72" s="501">
        <f t="shared" ref="AY72" si="323">IF((O72="A faire")*AND(D72="Logement"),I72,0)</f>
        <v>0</v>
      </c>
      <c r="AZ72" s="501">
        <f t="shared" ref="AZ72" si="324">IF((O72="A faire")*AND(D72="Tertiaire"),I72,0)</f>
        <v>0</v>
      </c>
      <c r="BA72" s="501">
        <f t="shared" ref="BA72" si="325">IF((O72="A faire")*AND(D72="Transport"),I72,0)</f>
        <v>0</v>
      </c>
      <c r="BB72" s="501">
        <f t="shared" ref="BB72" si="326">IF((O72="A faire")*AND(D72="Communal"),I72,0)</f>
        <v>0</v>
      </c>
      <c r="BC72" s="244"/>
      <c r="BD72" s="501">
        <f t="shared" ref="BD72" si="327">IF((O72="A faire")*AND(D72="Territoire"),J72,0)</f>
        <v>0</v>
      </c>
      <c r="BE72" s="501">
        <f t="shared" ref="BE72" si="328">IF((O72="A faire")*AND(D72="Agriculture"),J72,0)</f>
        <v>0</v>
      </c>
      <c r="BF72" s="501">
        <f t="shared" ref="BF72" si="329">IF((O72="A faire")*AND(D72="Industrie"),J72,0)</f>
        <v>0</v>
      </c>
      <c r="BG72" s="501">
        <f t="shared" ref="BG72" si="330">IF((O72="A faire")*AND(D72="Logement"),J72,0)</f>
        <v>0</v>
      </c>
      <c r="BH72" s="501">
        <f t="shared" ref="BH72" si="331">IF((O72="A faire")*AND(D72="Tertiaire"),2,0)</f>
        <v>0</v>
      </c>
      <c r="BI72" s="501">
        <f t="shared" ref="BI72" si="332">IF((O72="A faire")*AND(D72="Transport"),J72,0)</f>
        <v>48793.5</v>
      </c>
      <c r="BJ72" s="501">
        <f t="shared" ref="BJ72" si="333">IF((O72="A faire")*AND(D72="Communal"),J72,0)</f>
        <v>0</v>
      </c>
      <c r="BK72" s="503"/>
      <c r="BL72" s="501">
        <f t="shared" ref="BL72" si="334">IF((O72="A faire")*AND(D72="Territoire"),K72,0)</f>
        <v>0</v>
      </c>
      <c r="BM72" s="501">
        <f t="shared" ref="BM72" si="335">IF((O72="A faire")*AND(D72="Agriculture"),K72,0)</f>
        <v>0</v>
      </c>
      <c r="BN72" s="501">
        <f t="shared" ref="BN72" si="336">IF((O72="A faire")*AND(D72="Industrie"),K72,0)</f>
        <v>0</v>
      </c>
      <c r="BO72" s="501">
        <f t="shared" ref="BO72" si="337">IF((O72="A faire")*AND(D72="Logement"),K72,0)</f>
        <v>0</v>
      </c>
      <c r="BP72" s="501">
        <f t="shared" ref="BP72" si="338">IF((O72="A faire")*AND(D72="Tertiaire"),K72,0)</f>
        <v>0</v>
      </c>
      <c r="BQ72" s="501">
        <f t="shared" ref="BQ72" si="339">IF((O72="A faire")*AND(D72="Transport"),K72,0)</f>
        <v>0</v>
      </c>
      <c r="BR72" s="501">
        <f t="shared" ref="BR72" si="340">IF((O72="A faire")*AND(D72="Communal"),K72,0)</f>
        <v>0</v>
      </c>
    </row>
    <row r="73" spans="1:70" s="442" customFormat="1" ht="18.75" customHeight="1" x14ac:dyDescent="0.25">
      <c r="A73" s="779" t="s">
        <v>149</v>
      </c>
      <c r="B73" s="433" t="str">
        <f>'ADU-34'!$B$7</f>
        <v>Transport</v>
      </c>
      <c r="C73" s="433" t="str">
        <f>'ADU-34'!$B$8</f>
        <v>Borne de recharge</v>
      </c>
      <c r="D73" s="433" t="str">
        <f>'ADU-34'!$C$4</f>
        <v>Transport</v>
      </c>
      <c r="E73" s="433" t="str">
        <f>'ADU-34'!$B$11</f>
        <v>AC HABAY</v>
      </c>
      <c r="F73" s="433" t="str">
        <f>'ADU-34'!$B$5</f>
        <v>1/3 invest</v>
      </c>
      <c r="G73" s="434">
        <f>'ADU-34'!$B$16</f>
        <v>20000</v>
      </c>
      <c r="H73" s="433" t="str">
        <f>'ADU-34'!$B$6</f>
        <v>Pas de subside</v>
      </c>
      <c r="I73" s="434">
        <f>'ADU-34'!$B$17</f>
        <v>0</v>
      </c>
      <c r="J73" s="434">
        <f>'ADU-34'!$B$20</f>
        <v>1</v>
      </c>
      <c r="K73" s="434">
        <f>'ADU-34'!$B$21</f>
        <v>0</v>
      </c>
      <c r="L73" s="435">
        <f>'ADU-34'!$B$23</f>
        <v>20000</v>
      </c>
      <c r="M73" s="453">
        <f>'ADU-34'!$B$18/1000</f>
        <v>0</v>
      </c>
      <c r="N73" s="437"/>
      <c r="O73" s="438" t="str">
        <f>'ADU-34'!$E$5</f>
        <v>Terminé</v>
      </c>
      <c r="P73" s="439">
        <f>'ADU-34'!$B$15</f>
        <v>2020</v>
      </c>
      <c r="Q73" s="674">
        <f t="shared" si="0"/>
        <v>0</v>
      </c>
      <c r="R73" s="440">
        <f t="shared" si="238"/>
        <v>0</v>
      </c>
      <c r="S73" s="440">
        <f t="shared" si="239"/>
        <v>0</v>
      </c>
      <c r="T73" s="440">
        <f t="shared" si="240"/>
        <v>0</v>
      </c>
      <c r="U73" s="440">
        <f t="shared" si="241"/>
        <v>0</v>
      </c>
      <c r="V73" s="440">
        <f t="shared" si="242"/>
        <v>0</v>
      </c>
      <c r="W73" s="440">
        <f t="shared" si="243"/>
        <v>0</v>
      </c>
      <c r="X73" s="440">
        <f t="shared" si="244"/>
        <v>0</v>
      </c>
      <c r="Z73" s="661">
        <f t="shared" si="1"/>
        <v>0</v>
      </c>
      <c r="AA73" s="661">
        <f t="shared" si="2"/>
        <v>0</v>
      </c>
      <c r="AB73" s="661">
        <f t="shared" si="3"/>
        <v>0</v>
      </c>
      <c r="AC73" s="661">
        <f t="shared" si="4"/>
        <v>0</v>
      </c>
      <c r="AD73" s="416">
        <f t="shared" ref="AD73:AD90" si="341">IF((O73="A faire")*AND(E73="AC HABAY"),G73,0)</f>
        <v>0</v>
      </c>
      <c r="AE73" s="661">
        <f t="shared" si="6"/>
        <v>0</v>
      </c>
      <c r="AF73" s="662"/>
      <c r="AG73" s="661">
        <f t="shared" si="7"/>
        <v>0</v>
      </c>
      <c r="AH73" s="661">
        <f t="shared" si="8"/>
        <v>0</v>
      </c>
      <c r="AI73" s="661">
        <f t="shared" si="9"/>
        <v>0</v>
      </c>
      <c r="AJ73" s="661">
        <f t="shared" si="10"/>
        <v>0</v>
      </c>
      <c r="AK73" s="416">
        <f t="shared" ref="AK73:AK90" si="342">IF((O73="A faire")*AND(E73="AC HABAY"),I73,0)</f>
        <v>0</v>
      </c>
      <c r="AL73" s="661">
        <f t="shared" si="12"/>
        <v>0</v>
      </c>
      <c r="AM73" s="244"/>
      <c r="AN73" s="661">
        <f t="shared" si="13"/>
        <v>0</v>
      </c>
      <c r="AO73" s="661">
        <f t="shared" si="14"/>
        <v>0</v>
      </c>
      <c r="AP73" s="661">
        <f t="shared" si="15"/>
        <v>0</v>
      </c>
      <c r="AQ73" s="661">
        <f t="shared" si="16"/>
        <v>0</v>
      </c>
      <c r="AR73" s="661">
        <f t="shared" si="17"/>
        <v>0</v>
      </c>
      <c r="AS73" s="661">
        <f t="shared" si="18"/>
        <v>0</v>
      </c>
      <c r="AT73" s="661">
        <f t="shared" si="19"/>
        <v>0</v>
      </c>
      <c r="AU73" s="662"/>
      <c r="AV73" s="661">
        <f t="shared" si="20"/>
        <v>0</v>
      </c>
      <c r="AW73" s="661">
        <f t="shared" si="21"/>
        <v>0</v>
      </c>
      <c r="AX73" s="661">
        <f t="shared" si="22"/>
        <v>0</v>
      </c>
      <c r="AY73" s="661">
        <f t="shared" si="23"/>
        <v>0</v>
      </c>
      <c r="AZ73" s="661">
        <f t="shared" si="24"/>
        <v>0</v>
      </c>
      <c r="BA73" s="661">
        <f t="shared" si="25"/>
        <v>0</v>
      </c>
      <c r="BB73" s="661">
        <f t="shared" si="26"/>
        <v>0</v>
      </c>
      <c r="BC73" s="244"/>
      <c r="BD73" s="661">
        <f t="shared" si="27"/>
        <v>0</v>
      </c>
      <c r="BE73" s="661">
        <f t="shared" si="28"/>
        <v>0</v>
      </c>
      <c r="BF73" s="661">
        <f t="shared" si="29"/>
        <v>0</v>
      </c>
      <c r="BG73" s="661">
        <f t="shared" si="30"/>
        <v>0</v>
      </c>
      <c r="BH73" s="661">
        <f t="shared" si="31"/>
        <v>0</v>
      </c>
      <c r="BI73" s="661">
        <f t="shared" si="32"/>
        <v>0</v>
      </c>
      <c r="BJ73" s="661">
        <f t="shared" si="33"/>
        <v>0</v>
      </c>
      <c r="BK73" s="662"/>
      <c r="BL73" s="661">
        <f t="shared" si="34"/>
        <v>0</v>
      </c>
      <c r="BM73" s="661">
        <f t="shared" si="35"/>
        <v>0</v>
      </c>
      <c r="BN73" s="661">
        <f t="shared" si="36"/>
        <v>0</v>
      </c>
      <c r="BO73" s="661">
        <f t="shared" si="37"/>
        <v>0</v>
      </c>
      <c r="BP73" s="661">
        <f t="shared" si="38"/>
        <v>0</v>
      </c>
      <c r="BQ73" s="661">
        <f t="shared" si="39"/>
        <v>0</v>
      </c>
      <c r="BR73" s="661">
        <f t="shared" si="40"/>
        <v>0</v>
      </c>
    </row>
    <row r="74" spans="1:70" s="442" customFormat="1" ht="18.75" customHeight="1" x14ac:dyDescent="0.25">
      <c r="A74" s="780" t="s">
        <v>717</v>
      </c>
      <c r="B74" s="433" t="str">
        <f>'ADU-341'!$B$7</f>
        <v>Transport</v>
      </c>
      <c r="C74" s="433" t="str">
        <f>'ADU-341'!$B$8</f>
        <v>PEDIBUS</v>
      </c>
      <c r="D74" s="433" t="str">
        <f>'ADU-341'!$C$4</f>
        <v>Transport</v>
      </c>
      <c r="E74" s="433" t="str">
        <f>'ADU-341'!$B$11</f>
        <v>Citoyen</v>
      </c>
      <c r="F74" s="433" t="str">
        <f>'ADU-341'!$B$5</f>
        <v>Pas de financement</v>
      </c>
      <c r="G74" s="434">
        <f>'ADU-341'!$B$16</f>
        <v>0</v>
      </c>
      <c r="H74" s="433" t="str">
        <f>'ADU-341'!$B$6</f>
        <v>Pas de subside</v>
      </c>
      <c r="I74" s="434">
        <f>'ADU-341'!$B$17</f>
        <v>0</v>
      </c>
      <c r="J74" s="434">
        <f>'ADU-341'!$B$20</f>
        <v>1</v>
      </c>
      <c r="K74" s="434">
        <f>'ADU-341'!$B$21</f>
        <v>0</v>
      </c>
      <c r="L74" s="435">
        <f>'ADU-341'!$B$23</f>
        <v>0</v>
      </c>
      <c r="M74" s="453">
        <f>'ADU-341'!$B$18/1000</f>
        <v>10.8</v>
      </c>
      <c r="N74" s="437"/>
      <c r="O74" s="438" t="str">
        <f>'ADU-341'!$E$5</f>
        <v>Terminé</v>
      </c>
      <c r="P74" s="439">
        <f>'ADU-341'!$B$15</f>
        <v>2020</v>
      </c>
      <c r="Q74" s="674">
        <f t="shared" si="0"/>
        <v>10.8</v>
      </c>
      <c r="R74" s="440">
        <f>IF(O74="Terminé",M74,0)</f>
        <v>10.8</v>
      </c>
      <c r="S74" s="440">
        <f>IF(D74="Agriculture",R74,0)</f>
        <v>0</v>
      </c>
      <c r="T74" s="440">
        <f>IF(D74="Industrie", R74,0)</f>
        <v>0</v>
      </c>
      <c r="U74" s="440">
        <f>IF(D74="Logement", R74,0)</f>
        <v>0</v>
      </c>
      <c r="V74" s="440">
        <f>IF(D74="Tertiaire",R74,0)</f>
        <v>0</v>
      </c>
      <c r="W74" s="440">
        <f>IF(D74="Transport",R74,0)</f>
        <v>10.8</v>
      </c>
      <c r="X74" s="440">
        <f>IF(D74="Communal",R74,0)</f>
        <v>0</v>
      </c>
      <c r="Z74" s="663">
        <f t="shared" si="1"/>
        <v>0</v>
      </c>
      <c r="AA74" s="663">
        <f t="shared" si="2"/>
        <v>0</v>
      </c>
      <c r="AB74" s="663">
        <f t="shared" si="3"/>
        <v>0</v>
      </c>
      <c r="AC74" s="663">
        <f t="shared" si="4"/>
        <v>0</v>
      </c>
      <c r="AD74" s="416">
        <f t="shared" si="341"/>
        <v>0</v>
      </c>
      <c r="AE74" s="663">
        <f t="shared" si="6"/>
        <v>0</v>
      </c>
      <c r="AF74" s="664"/>
      <c r="AG74" s="663">
        <f t="shared" si="7"/>
        <v>0</v>
      </c>
      <c r="AH74" s="663">
        <f t="shared" si="8"/>
        <v>0</v>
      </c>
      <c r="AI74" s="663">
        <f t="shared" si="9"/>
        <v>0</v>
      </c>
      <c r="AJ74" s="663">
        <f t="shared" si="10"/>
        <v>0</v>
      </c>
      <c r="AK74" s="416">
        <f t="shared" si="342"/>
        <v>0</v>
      </c>
      <c r="AL74" s="663">
        <f t="shared" si="12"/>
        <v>0</v>
      </c>
      <c r="AM74" s="244"/>
      <c r="AN74" s="663">
        <f t="shared" si="13"/>
        <v>0</v>
      </c>
      <c r="AO74" s="663">
        <f t="shared" si="14"/>
        <v>0</v>
      </c>
      <c r="AP74" s="663">
        <f t="shared" si="15"/>
        <v>0</v>
      </c>
      <c r="AQ74" s="663">
        <f t="shared" si="16"/>
        <v>0</v>
      </c>
      <c r="AR74" s="663">
        <f t="shared" si="17"/>
        <v>0</v>
      </c>
      <c r="AS74" s="663">
        <f t="shared" si="18"/>
        <v>0</v>
      </c>
      <c r="AT74" s="663">
        <f t="shared" si="19"/>
        <v>0</v>
      </c>
      <c r="AU74" s="664"/>
      <c r="AV74" s="663">
        <f t="shared" si="20"/>
        <v>0</v>
      </c>
      <c r="AW74" s="663">
        <f t="shared" si="21"/>
        <v>0</v>
      </c>
      <c r="AX74" s="663">
        <f t="shared" si="22"/>
        <v>0</v>
      </c>
      <c r="AY74" s="663">
        <f t="shared" si="23"/>
        <v>0</v>
      </c>
      <c r="AZ74" s="663">
        <f t="shared" si="24"/>
        <v>0</v>
      </c>
      <c r="BA74" s="663">
        <f t="shared" si="25"/>
        <v>0</v>
      </c>
      <c r="BB74" s="663">
        <f t="shared" si="26"/>
        <v>0</v>
      </c>
      <c r="BC74" s="244"/>
      <c r="BD74" s="663">
        <f t="shared" si="27"/>
        <v>0</v>
      </c>
      <c r="BE74" s="663">
        <f t="shared" si="28"/>
        <v>0</v>
      </c>
      <c r="BF74" s="663">
        <f t="shared" si="29"/>
        <v>0</v>
      </c>
      <c r="BG74" s="663">
        <f t="shared" si="30"/>
        <v>0</v>
      </c>
      <c r="BH74" s="663">
        <f t="shared" si="31"/>
        <v>0</v>
      </c>
      <c r="BI74" s="663">
        <f t="shared" si="32"/>
        <v>0</v>
      </c>
      <c r="BJ74" s="663">
        <f t="shared" si="33"/>
        <v>0</v>
      </c>
      <c r="BK74" s="664"/>
      <c r="BL74" s="663">
        <f t="shared" si="34"/>
        <v>0</v>
      </c>
      <c r="BM74" s="663">
        <f t="shared" si="35"/>
        <v>0</v>
      </c>
      <c r="BN74" s="663">
        <f t="shared" si="36"/>
        <v>0</v>
      </c>
      <c r="BO74" s="663">
        <f t="shared" si="37"/>
        <v>0</v>
      </c>
      <c r="BP74" s="663">
        <f t="shared" si="38"/>
        <v>0</v>
      </c>
      <c r="BQ74" s="663">
        <f t="shared" si="39"/>
        <v>0</v>
      </c>
      <c r="BR74" s="663">
        <f t="shared" si="40"/>
        <v>0</v>
      </c>
    </row>
    <row r="75" spans="1:70" s="442" customFormat="1" ht="18" customHeight="1" x14ac:dyDescent="0.25">
      <c r="A75" s="781" t="s">
        <v>148</v>
      </c>
      <c r="B75" s="446" t="str">
        <f>'ADU-35'!$B$7</f>
        <v>Transport</v>
      </c>
      <c r="C75" s="446" t="str">
        <f>'ADU-35'!$B$8</f>
        <v>Ramassage scolaire</v>
      </c>
      <c r="D75" s="446" t="str">
        <f>'ADU-35'!$C$4</f>
        <v>Transport</v>
      </c>
      <c r="E75" s="446" t="str">
        <f>'ADU-35'!$B$11</f>
        <v>AC HABAY</v>
      </c>
      <c r="F75" s="433" t="str">
        <f>'ADU-35'!$B$5</f>
        <v>Fonds propres</v>
      </c>
      <c r="G75" s="447">
        <f>'ADU-35'!$B$16</f>
        <v>375000</v>
      </c>
      <c r="H75" s="433" t="str">
        <f>'ADU-35'!$B$6</f>
        <v>Pas de subside</v>
      </c>
      <c r="I75" s="447">
        <f>'ADU-35'!$B$17</f>
        <v>0</v>
      </c>
      <c r="J75" s="447">
        <f>'ADU-35'!$B$20</f>
        <v>14400</v>
      </c>
      <c r="K75" s="447">
        <f>'ADU-35'!$B$21</f>
        <v>0</v>
      </c>
      <c r="L75" s="448">
        <f>'ADU-35'!$B$23</f>
        <v>26.041666666666668</v>
      </c>
      <c r="M75" s="454">
        <f>'ADU-35'!$B$18/1000</f>
        <v>90</v>
      </c>
      <c r="N75" s="450"/>
      <c r="O75" s="451" t="str">
        <f>'ADU-35'!$E$5</f>
        <v>A faire</v>
      </c>
      <c r="P75" s="439">
        <f>'ADU-35'!$B$15</f>
        <v>2020</v>
      </c>
      <c r="Q75" s="674">
        <f t="shared" si="0"/>
        <v>0</v>
      </c>
      <c r="R75" s="452">
        <f t="shared" si="238"/>
        <v>0</v>
      </c>
      <c r="S75" s="452">
        <f t="shared" si="239"/>
        <v>0</v>
      </c>
      <c r="T75" s="452">
        <f t="shared" si="240"/>
        <v>0</v>
      </c>
      <c r="U75" s="452">
        <f t="shared" si="241"/>
        <v>0</v>
      </c>
      <c r="V75" s="452">
        <f t="shared" si="242"/>
        <v>0</v>
      </c>
      <c r="W75" s="452">
        <f t="shared" si="243"/>
        <v>0</v>
      </c>
      <c r="X75" s="452">
        <f t="shared" si="244"/>
        <v>0</v>
      </c>
      <c r="Z75" s="663">
        <f t="shared" si="1"/>
        <v>0</v>
      </c>
      <c r="AA75" s="663">
        <f t="shared" si="2"/>
        <v>0</v>
      </c>
      <c r="AB75" s="663">
        <f t="shared" si="3"/>
        <v>0</v>
      </c>
      <c r="AC75" s="663">
        <f t="shared" si="4"/>
        <v>0</v>
      </c>
      <c r="AD75" s="416">
        <f t="shared" si="341"/>
        <v>375000</v>
      </c>
      <c r="AE75" s="663">
        <f t="shared" si="6"/>
        <v>0</v>
      </c>
      <c r="AF75" s="664"/>
      <c r="AG75" s="663">
        <f t="shared" si="7"/>
        <v>0</v>
      </c>
      <c r="AH75" s="663">
        <f t="shared" si="8"/>
        <v>0</v>
      </c>
      <c r="AI75" s="663">
        <f t="shared" si="9"/>
        <v>0</v>
      </c>
      <c r="AJ75" s="663">
        <f t="shared" si="10"/>
        <v>0</v>
      </c>
      <c r="AK75" s="416">
        <f t="shared" si="342"/>
        <v>0</v>
      </c>
      <c r="AL75" s="663">
        <f t="shared" si="12"/>
        <v>0</v>
      </c>
      <c r="AM75" s="244"/>
      <c r="AN75" s="663">
        <f t="shared" si="13"/>
        <v>0</v>
      </c>
      <c r="AO75" s="663">
        <f t="shared" si="14"/>
        <v>0</v>
      </c>
      <c r="AP75" s="663">
        <f t="shared" si="15"/>
        <v>0</v>
      </c>
      <c r="AQ75" s="663">
        <f t="shared" si="16"/>
        <v>0</v>
      </c>
      <c r="AR75" s="663">
        <f t="shared" si="17"/>
        <v>0</v>
      </c>
      <c r="AS75" s="663">
        <f t="shared" si="18"/>
        <v>375000</v>
      </c>
      <c r="AT75" s="663">
        <f t="shared" si="19"/>
        <v>0</v>
      </c>
      <c r="AU75" s="664"/>
      <c r="AV75" s="663">
        <f t="shared" si="20"/>
        <v>0</v>
      </c>
      <c r="AW75" s="663">
        <f t="shared" si="21"/>
        <v>0</v>
      </c>
      <c r="AX75" s="663">
        <f t="shared" si="22"/>
        <v>0</v>
      </c>
      <c r="AY75" s="663">
        <f t="shared" si="23"/>
        <v>0</v>
      </c>
      <c r="AZ75" s="663">
        <f t="shared" si="24"/>
        <v>0</v>
      </c>
      <c r="BA75" s="663">
        <f t="shared" si="25"/>
        <v>0</v>
      </c>
      <c r="BB75" s="663">
        <f t="shared" si="26"/>
        <v>0</v>
      </c>
      <c r="BC75" s="244"/>
      <c r="BD75" s="663">
        <f t="shared" si="27"/>
        <v>0</v>
      </c>
      <c r="BE75" s="663">
        <f t="shared" si="28"/>
        <v>0</v>
      </c>
      <c r="BF75" s="663">
        <f t="shared" si="29"/>
        <v>0</v>
      </c>
      <c r="BG75" s="663">
        <f t="shared" si="30"/>
        <v>0</v>
      </c>
      <c r="BH75" s="663">
        <f t="shared" si="31"/>
        <v>0</v>
      </c>
      <c r="BI75" s="663">
        <f t="shared" si="32"/>
        <v>14400</v>
      </c>
      <c r="BJ75" s="663">
        <f t="shared" si="33"/>
        <v>0</v>
      </c>
      <c r="BK75" s="664"/>
      <c r="BL75" s="663">
        <f t="shared" si="34"/>
        <v>0</v>
      </c>
      <c r="BM75" s="663">
        <f t="shared" si="35"/>
        <v>0</v>
      </c>
      <c r="BN75" s="663">
        <f t="shared" si="36"/>
        <v>0</v>
      </c>
      <c r="BO75" s="663">
        <f t="shared" si="37"/>
        <v>0</v>
      </c>
      <c r="BP75" s="663">
        <f t="shared" si="38"/>
        <v>0</v>
      </c>
      <c r="BQ75" s="663">
        <f t="shared" si="39"/>
        <v>0</v>
      </c>
      <c r="BR75" s="663">
        <f t="shared" si="40"/>
        <v>0</v>
      </c>
    </row>
    <row r="76" spans="1:70" s="442" customFormat="1" ht="18" customHeight="1" x14ac:dyDescent="0.25">
      <c r="A76" s="677" t="s">
        <v>909</v>
      </c>
      <c r="B76" s="446" t="str">
        <f>'ADU-351'!$B$7</f>
        <v>Transport</v>
      </c>
      <c r="C76" s="446" t="str">
        <f>'ADU-351'!$B$8</f>
        <v>Vélos à assistance électrique</v>
      </c>
      <c r="D76" s="446" t="str">
        <f>'ADU-351'!$C$4</f>
        <v>Transport</v>
      </c>
      <c r="E76" s="446" t="str">
        <f>'ADU-351'!$B$11</f>
        <v>Citoyen</v>
      </c>
      <c r="F76" s="433" t="str">
        <f>'ADU-351'!$B$5</f>
        <v>Fonds propres</v>
      </c>
      <c r="G76" s="447">
        <f>'ADU-351'!$B$16</f>
        <v>160000</v>
      </c>
      <c r="H76" s="433" t="str">
        <f>'ADU-351'!$B$6</f>
        <v>Pas de subside</v>
      </c>
      <c r="I76" s="447">
        <f>'ADU-351'!$B$17</f>
        <v>0</v>
      </c>
      <c r="J76" s="447">
        <f>'ADU-351'!$B$20</f>
        <v>14400</v>
      </c>
      <c r="K76" s="447">
        <f>'ADU-351'!$B$21</f>
        <v>0</v>
      </c>
      <c r="L76" s="448">
        <f>'ADU-351'!$B$23</f>
        <v>11.111111111111111</v>
      </c>
      <c r="M76" s="454">
        <f>'ADU-351'!$B$24</f>
        <v>23.49</v>
      </c>
      <c r="N76" s="450"/>
      <c r="O76" s="451" t="str">
        <f>'ADU-351'!$E$5</f>
        <v>En cours</v>
      </c>
      <c r="P76" s="439">
        <f>'ADU-351'!$B$15</f>
        <v>2020</v>
      </c>
      <c r="Q76" s="674">
        <f t="shared" ref="Q76" si="343">IF(O76="Terminé",M76,0)</f>
        <v>0</v>
      </c>
      <c r="R76" s="452">
        <f t="shared" ref="R76" si="344">IF(O76="Terminé",M76,0)</f>
        <v>0</v>
      </c>
      <c r="S76" s="452">
        <f t="shared" ref="S76" si="345">IF(D76="Agriculture",R76,0)</f>
        <v>0</v>
      </c>
      <c r="T76" s="452">
        <f t="shared" ref="T76" si="346">IF(D76="Industrie", R76,0)</f>
        <v>0</v>
      </c>
      <c r="U76" s="452">
        <f t="shared" ref="U76" si="347">IF(D76="Logement", R76,0)</f>
        <v>0</v>
      </c>
      <c r="V76" s="452">
        <f t="shared" ref="V76" si="348">IF(D76="Tertiaire",R76,0)</f>
        <v>0</v>
      </c>
      <c r="W76" s="452">
        <f t="shared" ref="W76" si="349">IF(D76="Transport",R76,0)</f>
        <v>0</v>
      </c>
      <c r="X76" s="452">
        <f t="shared" ref="X76" si="350">IF(D76="Communal",R76,0)</f>
        <v>0</v>
      </c>
      <c r="Z76" s="663">
        <f t="shared" ref="Z76" si="351">IF((O76="A faire")*AND(E76="Agriculture"),G76,0)</f>
        <v>0</v>
      </c>
      <c r="AA76" s="663">
        <f t="shared" ref="AA76" si="352">IF((O76="A faire")*AND(E76="Industrie"),G76,0)</f>
        <v>0</v>
      </c>
      <c r="AB76" s="663">
        <f t="shared" ref="AB76" si="353">IF((O76="A faire")*AND(E76="Citoyen"),G76,0)</f>
        <v>0</v>
      </c>
      <c r="AC76" s="663">
        <f t="shared" ref="AC76" si="354">IF((O76="A faire")*AND(E76="IDELUX"),G76,0)</f>
        <v>0</v>
      </c>
      <c r="AD76" s="416">
        <f t="shared" ref="AD76" si="355">IF((O76="A faire")*AND(E76="AC HABAY"),G76,0)</f>
        <v>0</v>
      </c>
      <c r="AE76" s="663">
        <f t="shared" ref="AE76" si="356">IF((O76="A faire")*AND(E76="Tertiaire"),G76,0)</f>
        <v>0</v>
      </c>
      <c r="AF76" s="664"/>
      <c r="AG76" s="663">
        <f t="shared" ref="AG76" si="357">IF((O76="A faire")*AND(E76="Agriculture"),I76,0)</f>
        <v>0</v>
      </c>
      <c r="AH76" s="663">
        <f t="shared" ref="AH76" si="358">IF((O76="A faire")*AND(E76="Industrie"),I76,0)</f>
        <v>0</v>
      </c>
      <c r="AI76" s="663">
        <f t="shared" ref="AI76" si="359">IF((O76="A faire")*AND(E76="Citoyen"),I76,0)</f>
        <v>0</v>
      </c>
      <c r="AJ76" s="663">
        <f t="shared" ref="AJ76" si="360">IF((O76="A faire")*AND(E76="IDELUX"),I76,0)</f>
        <v>0</v>
      </c>
      <c r="AK76" s="416">
        <f t="shared" ref="AK76" si="361">IF((O76="A faire")*AND(E76="AC HABAY"),I76,0)</f>
        <v>0</v>
      </c>
      <c r="AL76" s="663">
        <f t="shared" ref="AL76" si="362">IF((O76="A faire")*AND(E76="Tertiaire"),I76,0)</f>
        <v>0</v>
      </c>
      <c r="AM76" s="244"/>
      <c r="AN76" s="663">
        <f t="shared" ref="AN76" si="363">IF((O76="A faire")*AND(D76="Territoire"),G76,0)</f>
        <v>0</v>
      </c>
      <c r="AO76" s="663">
        <f t="shared" ref="AO76" si="364">IF((O76="A faire")*AND(D76="Agriculture"),G76,0)</f>
        <v>0</v>
      </c>
      <c r="AP76" s="663">
        <f t="shared" ref="AP76" si="365">IF((O76="A faire")*AND(D76="Industrie"),G76,0)</f>
        <v>0</v>
      </c>
      <c r="AQ76" s="663">
        <f t="shared" ref="AQ76" si="366">IF((O76="A faire")*AND(D76="Logement"),G76,0)</f>
        <v>0</v>
      </c>
      <c r="AR76" s="663">
        <f t="shared" ref="AR76" si="367">IF((O76="A faire")*AND(D76="Tertiaire"),G76,0)</f>
        <v>0</v>
      </c>
      <c r="AS76" s="663">
        <f t="shared" ref="AS76" si="368">IF((O76="A faire")*AND(D76="Transport"),G76,0)</f>
        <v>0</v>
      </c>
      <c r="AT76" s="663">
        <f t="shared" ref="AT76" si="369">IF((O76="A faire")*AND(D76="Communal"),G76,0)</f>
        <v>0</v>
      </c>
      <c r="AU76" s="664"/>
      <c r="AV76" s="663">
        <f t="shared" ref="AV76" si="370">IF((O76="A faire")*AND(D76="Territoire"),I76,0)</f>
        <v>0</v>
      </c>
      <c r="AW76" s="663">
        <f t="shared" ref="AW76" si="371">IF((O76="A faire")*AND(D76="Agriculture"),I76,0)</f>
        <v>0</v>
      </c>
      <c r="AX76" s="663">
        <f t="shared" ref="AX76" si="372">IF((O76="A faire")*AND(D76="Industrie"),I76,0)</f>
        <v>0</v>
      </c>
      <c r="AY76" s="663">
        <f t="shared" ref="AY76" si="373">IF((O76="A faire")*AND(D76="Logement"),I76,0)</f>
        <v>0</v>
      </c>
      <c r="AZ76" s="663">
        <f t="shared" ref="AZ76" si="374">IF((O76="A faire")*AND(D76="Tertiaire"),I76,0)</f>
        <v>0</v>
      </c>
      <c r="BA76" s="663">
        <f t="shared" ref="BA76" si="375">IF((O76="A faire")*AND(D76="Transport"),I76,0)</f>
        <v>0</v>
      </c>
      <c r="BB76" s="663">
        <f t="shared" ref="BB76" si="376">IF((O76="A faire")*AND(D76="Communal"),I76,0)</f>
        <v>0</v>
      </c>
      <c r="BC76" s="244"/>
      <c r="BD76" s="663">
        <f t="shared" ref="BD76" si="377">IF((O76="A faire")*AND(D76="Territoire"),J76,0)</f>
        <v>0</v>
      </c>
      <c r="BE76" s="663">
        <f t="shared" ref="BE76" si="378">IF((O76="A faire")*AND(D76="Agriculture"),J76,0)</f>
        <v>0</v>
      </c>
      <c r="BF76" s="663">
        <f t="shared" ref="BF76" si="379">IF((O76="A faire")*AND(D76="Industrie"),J76,0)</f>
        <v>0</v>
      </c>
      <c r="BG76" s="663">
        <f t="shared" ref="BG76" si="380">IF((O76="A faire")*AND(D76="Logement"),J76,0)</f>
        <v>0</v>
      </c>
      <c r="BH76" s="663">
        <f t="shared" ref="BH76" si="381">IF((O76="A faire")*AND(D76="Tertiaire"),2,0)</f>
        <v>0</v>
      </c>
      <c r="BI76" s="663">
        <f t="shared" ref="BI76" si="382">IF((O76="A faire")*AND(D76="Transport"),J76,0)</f>
        <v>0</v>
      </c>
      <c r="BJ76" s="663">
        <f t="shared" ref="BJ76" si="383">IF((O76="A faire")*AND(D76="Communal"),J76,0)</f>
        <v>0</v>
      </c>
      <c r="BK76" s="664"/>
      <c r="BL76" s="663">
        <f t="shared" ref="BL76" si="384">IF((O76="A faire")*AND(D76="Territoire"),K76,0)</f>
        <v>0</v>
      </c>
      <c r="BM76" s="663">
        <f t="shared" ref="BM76" si="385">IF((O76="A faire")*AND(D76="Agriculture"),K76,0)</f>
        <v>0</v>
      </c>
      <c r="BN76" s="663">
        <f t="shared" ref="BN76" si="386">IF((O76="A faire")*AND(D76="Industrie"),K76,0)</f>
        <v>0</v>
      </c>
      <c r="BO76" s="663">
        <f t="shared" ref="BO76" si="387">IF((O76="A faire")*AND(D76="Logement"),K76,0)</f>
        <v>0</v>
      </c>
      <c r="BP76" s="663">
        <f t="shared" ref="BP76" si="388">IF((O76="A faire")*AND(D76="Tertiaire"),K76,0)</f>
        <v>0</v>
      </c>
      <c r="BQ76" s="663">
        <f t="shared" ref="BQ76" si="389">IF((O76="A faire")*AND(D76="Transport"),K76,0)</f>
        <v>0</v>
      </c>
      <c r="BR76" s="663">
        <f t="shared" ref="BR76" si="390">IF((O76="A faire")*AND(D76="Communal"),K76,0)</f>
        <v>0</v>
      </c>
    </row>
    <row r="77" spans="1:70" s="477" customFormat="1" x14ac:dyDescent="0.25">
      <c r="A77" s="676" t="s">
        <v>704</v>
      </c>
      <c r="B77" s="478" t="str">
        <f>'ADU-361'!$B$7</f>
        <v>Logement</v>
      </c>
      <c r="C77" s="478" t="str">
        <f>'ADU-361'!$B$8</f>
        <v>Pompes à chaleur GEO</v>
      </c>
      <c r="D77" s="478" t="str">
        <f>'ADU-361'!$C$4</f>
        <v>Logement</v>
      </c>
      <c r="E77" s="478" t="str">
        <f>'ADU-361'!$B$11</f>
        <v>Citoyen</v>
      </c>
      <c r="F77" s="468" t="str">
        <f>'ADU-361'!$B$5</f>
        <v>ECOPACK</v>
      </c>
      <c r="G77" s="534">
        <f>'ADU-361'!$B$16</f>
        <v>200000</v>
      </c>
      <c r="H77" s="468" t="str">
        <f>'ADU-361'!$B$6</f>
        <v>Pas de subside</v>
      </c>
      <c r="I77" s="534">
        <f>'ADU-361'!$B$17</f>
        <v>0</v>
      </c>
      <c r="J77" s="534">
        <f>'ADU-361'!$B$20</f>
        <v>1580.6398687448727</v>
      </c>
      <c r="K77" s="534">
        <f>'ADU-361'!$B$21</f>
        <v>0</v>
      </c>
      <c r="L77" s="478">
        <f>'ADU-361'!$B$23</f>
        <v>103.75544944986507</v>
      </c>
      <c r="M77" s="540">
        <f>'ADU-361'!$B$18/1000</f>
        <v>0</v>
      </c>
      <c r="N77" s="478">
        <f t="shared" ref="N77:N88" si="391">IF(G77=0,0,M77/(G77-I77)*1000)</f>
        <v>0</v>
      </c>
      <c r="O77" s="538" t="str">
        <f>'ADU-361'!$E$5</f>
        <v>En cours</v>
      </c>
      <c r="P77" s="474">
        <f>'ADU-361'!$B$15</f>
        <v>2020</v>
      </c>
      <c r="Q77" s="475">
        <f t="shared" si="0"/>
        <v>0</v>
      </c>
      <c r="R77" s="478">
        <f t="shared" si="238"/>
        <v>0</v>
      </c>
      <c r="S77" s="478">
        <f t="shared" si="239"/>
        <v>0</v>
      </c>
      <c r="T77" s="478">
        <f t="shared" si="240"/>
        <v>0</v>
      </c>
      <c r="U77" s="478">
        <f t="shared" si="241"/>
        <v>0</v>
      </c>
      <c r="V77" s="478">
        <f t="shared" si="242"/>
        <v>0</v>
      </c>
      <c r="W77" s="478">
        <f t="shared" si="243"/>
        <v>0</v>
      </c>
      <c r="X77" s="478">
        <f t="shared" si="244"/>
        <v>0</v>
      </c>
      <c r="Z77" s="663">
        <f t="shared" si="1"/>
        <v>0</v>
      </c>
      <c r="AA77" s="663">
        <f t="shared" si="2"/>
        <v>0</v>
      </c>
      <c r="AB77" s="663">
        <f t="shared" si="3"/>
        <v>0</v>
      </c>
      <c r="AC77" s="663">
        <f t="shared" si="4"/>
        <v>0</v>
      </c>
      <c r="AD77" s="416">
        <f t="shared" si="341"/>
        <v>0</v>
      </c>
      <c r="AE77" s="663">
        <f t="shared" si="6"/>
        <v>0</v>
      </c>
      <c r="AF77" s="664"/>
      <c r="AG77" s="663">
        <f t="shared" si="7"/>
        <v>0</v>
      </c>
      <c r="AH77" s="663">
        <f t="shared" si="8"/>
        <v>0</v>
      </c>
      <c r="AI77" s="663">
        <f t="shared" si="9"/>
        <v>0</v>
      </c>
      <c r="AJ77" s="663">
        <f t="shared" si="10"/>
        <v>0</v>
      </c>
      <c r="AK77" s="416">
        <f t="shared" si="342"/>
        <v>0</v>
      </c>
      <c r="AL77" s="663">
        <f t="shared" si="12"/>
        <v>0</v>
      </c>
      <c r="AM77" s="244"/>
      <c r="AN77" s="663">
        <f t="shared" si="13"/>
        <v>0</v>
      </c>
      <c r="AO77" s="663">
        <f t="shared" si="14"/>
        <v>0</v>
      </c>
      <c r="AP77" s="663">
        <f t="shared" si="15"/>
        <v>0</v>
      </c>
      <c r="AQ77" s="663">
        <f t="shared" si="16"/>
        <v>0</v>
      </c>
      <c r="AR77" s="663">
        <f t="shared" si="17"/>
        <v>0</v>
      </c>
      <c r="AS77" s="663">
        <f t="shared" si="18"/>
        <v>0</v>
      </c>
      <c r="AT77" s="663">
        <f t="shared" si="19"/>
        <v>0</v>
      </c>
      <c r="AU77" s="664"/>
      <c r="AV77" s="663">
        <f t="shared" si="20"/>
        <v>0</v>
      </c>
      <c r="AW77" s="663">
        <f t="shared" si="21"/>
        <v>0</v>
      </c>
      <c r="AX77" s="663">
        <f t="shared" si="22"/>
        <v>0</v>
      </c>
      <c r="AY77" s="663">
        <f t="shared" si="23"/>
        <v>0</v>
      </c>
      <c r="AZ77" s="663">
        <f t="shared" si="24"/>
        <v>0</v>
      </c>
      <c r="BA77" s="663">
        <f t="shared" si="25"/>
        <v>0</v>
      </c>
      <c r="BB77" s="663">
        <f t="shared" si="26"/>
        <v>0</v>
      </c>
      <c r="BC77" s="244"/>
      <c r="BD77" s="663">
        <f t="shared" si="27"/>
        <v>0</v>
      </c>
      <c r="BE77" s="663">
        <f t="shared" si="28"/>
        <v>0</v>
      </c>
      <c r="BF77" s="663">
        <f t="shared" si="29"/>
        <v>0</v>
      </c>
      <c r="BG77" s="663">
        <f t="shared" si="30"/>
        <v>0</v>
      </c>
      <c r="BH77" s="663">
        <f t="shared" si="31"/>
        <v>0</v>
      </c>
      <c r="BI77" s="663">
        <f t="shared" si="32"/>
        <v>0</v>
      </c>
      <c r="BJ77" s="663">
        <f t="shared" si="33"/>
        <v>0</v>
      </c>
      <c r="BK77" s="664"/>
      <c r="BL77" s="663">
        <f t="shared" si="34"/>
        <v>0</v>
      </c>
      <c r="BM77" s="663">
        <f t="shared" si="35"/>
        <v>0</v>
      </c>
      <c r="BN77" s="663">
        <f t="shared" si="36"/>
        <v>0</v>
      </c>
      <c r="BO77" s="663">
        <f t="shared" si="37"/>
        <v>0</v>
      </c>
      <c r="BP77" s="663">
        <f t="shared" si="38"/>
        <v>0</v>
      </c>
      <c r="BQ77" s="663">
        <f t="shared" si="39"/>
        <v>0</v>
      </c>
      <c r="BR77" s="663">
        <f t="shared" si="40"/>
        <v>0</v>
      </c>
    </row>
    <row r="78" spans="1:70" s="477" customFormat="1" x14ac:dyDescent="0.25">
      <c r="A78" s="676" t="s">
        <v>707</v>
      </c>
      <c r="B78" s="478" t="str">
        <f>'ADU-362'!$B$7</f>
        <v>Logement</v>
      </c>
      <c r="C78" s="478" t="str">
        <f>'ADU-362'!$B$8</f>
        <v>Pompes à chaleur A-A</v>
      </c>
      <c r="D78" s="478" t="str">
        <f>'ADU-362'!$C$4</f>
        <v>Logement</v>
      </c>
      <c r="E78" s="478" t="str">
        <f>'ADU-362'!$B$11</f>
        <v>Citoyen</v>
      </c>
      <c r="F78" s="468" t="str">
        <f>'ADU-362'!$B$5</f>
        <v>ECOPACK</v>
      </c>
      <c r="G78" s="534">
        <f>'ADU-362'!$B$16</f>
        <v>137500</v>
      </c>
      <c r="H78" s="468" t="str">
        <f>'ADU-362'!$B$6</f>
        <v>Pas de subside</v>
      </c>
      <c r="I78" s="534">
        <f>'ADU-362'!$B$17</f>
        <v>0</v>
      </c>
      <c r="J78" s="534">
        <f>'ADU-362'!$B$20</f>
        <v>1764.596273291927</v>
      </c>
      <c r="K78" s="534">
        <f>'ADU-362'!$B$21</f>
        <v>0</v>
      </c>
      <c r="L78" s="535">
        <f>'ADU-362'!$B$23</f>
        <v>14.167546638507556</v>
      </c>
      <c r="M78" s="540">
        <f>'ADU-362'!$B$18/1000</f>
        <v>0</v>
      </c>
      <c r="N78" s="478">
        <f>IF(G78=0,0,M78/(G78-I78)*1000)</f>
        <v>0</v>
      </c>
      <c r="O78" s="538" t="str">
        <f>'ADU-362'!$E$5</f>
        <v>En cours</v>
      </c>
      <c r="P78" s="474">
        <f>'ADU-362'!$B$15</f>
        <v>2020</v>
      </c>
      <c r="Q78" s="475">
        <f t="shared" si="0"/>
        <v>0</v>
      </c>
      <c r="R78" s="478">
        <f>IF(O78="Terminé",M78,0)</f>
        <v>0</v>
      </c>
      <c r="S78" s="478">
        <f>IF(D78="Agriculture",R78,0)</f>
        <v>0</v>
      </c>
      <c r="T78" s="478">
        <f>IF(D78="Industrie", R78,0)</f>
        <v>0</v>
      </c>
      <c r="U78" s="478">
        <f>IF(D78="Logement", R78,0)</f>
        <v>0</v>
      </c>
      <c r="V78" s="478">
        <f>IF(D78="Tertiaire",R78,0)</f>
        <v>0</v>
      </c>
      <c r="W78" s="478">
        <f>IF(D78="Transport",R78,0)</f>
        <v>0</v>
      </c>
      <c r="X78" s="478">
        <f>IF(D78="Communal",R78,0)</f>
        <v>0</v>
      </c>
      <c r="Z78" s="488">
        <f t="shared" si="1"/>
        <v>0</v>
      </c>
      <c r="AA78" s="488">
        <f t="shared" si="2"/>
        <v>0</v>
      </c>
      <c r="AB78" s="488">
        <f t="shared" si="3"/>
        <v>0</v>
      </c>
      <c r="AC78" s="488">
        <f t="shared" si="4"/>
        <v>0</v>
      </c>
      <c r="AD78" s="416">
        <f t="shared" si="341"/>
        <v>0</v>
      </c>
      <c r="AE78" s="488">
        <f t="shared" si="6"/>
        <v>0</v>
      </c>
      <c r="AF78" s="490"/>
      <c r="AG78" s="488">
        <f t="shared" si="7"/>
        <v>0</v>
      </c>
      <c r="AH78" s="488">
        <f t="shared" si="8"/>
        <v>0</v>
      </c>
      <c r="AI78" s="488">
        <f t="shared" si="9"/>
        <v>0</v>
      </c>
      <c r="AJ78" s="488">
        <f t="shared" si="10"/>
        <v>0</v>
      </c>
      <c r="AK78" s="416">
        <f t="shared" si="342"/>
        <v>0</v>
      </c>
      <c r="AL78" s="488">
        <f t="shared" si="12"/>
        <v>0</v>
      </c>
      <c r="AM78" s="244"/>
      <c r="AN78" s="488">
        <f t="shared" si="13"/>
        <v>0</v>
      </c>
      <c r="AO78" s="488">
        <f t="shared" si="14"/>
        <v>0</v>
      </c>
      <c r="AP78" s="488">
        <f t="shared" si="15"/>
        <v>0</v>
      </c>
      <c r="AQ78" s="488">
        <f t="shared" si="16"/>
        <v>0</v>
      </c>
      <c r="AR78" s="488">
        <f t="shared" si="17"/>
        <v>0</v>
      </c>
      <c r="AS78" s="488">
        <f t="shared" si="18"/>
        <v>0</v>
      </c>
      <c r="AT78" s="488">
        <f t="shared" si="19"/>
        <v>0</v>
      </c>
      <c r="AU78" s="490"/>
      <c r="AV78" s="488">
        <f t="shared" si="20"/>
        <v>0</v>
      </c>
      <c r="AW78" s="488">
        <f t="shared" si="21"/>
        <v>0</v>
      </c>
      <c r="AX78" s="488">
        <f t="shared" si="22"/>
        <v>0</v>
      </c>
      <c r="AY78" s="488">
        <f t="shared" si="23"/>
        <v>0</v>
      </c>
      <c r="AZ78" s="488">
        <f t="shared" si="24"/>
        <v>0</v>
      </c>
      <c r="BA78" s="488">
        <f t="shared" si="25"/>
        <v>0</v>
      </c>
      <c r="BB78" s="488">
        <f t="shared" si="26"/>
        <v>0</v>
      </c>
      <c r="BC78" s="244"/>
      <c r="BD78" s="488">
        <f t="shared" si="27"/>
        <v>0</v>
      </c>
      <c r="BE78" s="488">
        <f t="shared" si="28"/>
        <v>0</v>
      </c>
      <c r="BF78" s="488">
        <f t="shared" si="29"/>
        <v>0</v>
      </c>
      <c r="BG78" s="488">
        <f t="shared" si="30"/>
        <v>0</v>
      </c>
      <c r="BH78" s="488">
        <f t="shared" si="31"/>
        <v>0</v>
      </c>
      <c r="BI78" s="488">
        <f t="shared" si="32"/>
        <v>0</v>
      </c>
      <c r="BJ78" s="488">
        <f t="shared" si="33"/>
        <v>0</v>
      </c>
      <c r="BK78" s="490"/>
      <c r="BL78" s="488">
        <f t="shared" si="34"/>
        <v>0</v>
      </c>
      <c r="BM78" s="488">
        <f t="shared" si="35"/>
        <v>0</v>
      </c>
      <c r="BN78" s="488">
        <f t="shared" si="36"/>
        <v>0</v>
      </c>
      <c r="BO78" s="488">
        <f t="shared" si="37"/>
        <v>0</v>
      </c>
      <c r="BP78" s="488">
        <f t="shared" si="38"/>
        <v>0</v>
      </c>
      <c r="BQ78" s="488">
        <f t="shared" si="39"/>
        <v>0</v>
      </c>
      <c r="BR78" s="488">
        <f t="shared" si="40"/>
        <v>0</v>
      </c>
    </row>
    <row r="79" spans="1:70" s="477" customFormat="1" x14ac:dyDescent="0.25">
      <c r="A79" s="676" t="s">
        <v>708</v>
      </c>
      <c r="B79" s="478" t="str">
        <f>'ADU-363'!$B$7</f>
        <v>Logement</v>
      </c>
      <c r="C79" s="478" t="str">
        <f>'ADU-363'!$B$8</f>
        <v>Pompes à chaleur A-E</v>
      </c>
      <c r="D79" s="478" t="str">
        <f>'ADU-363'!$C$4</f>
        <v>Logement</v>
      </c>
      <c r="E79" s="478" t="str">
        <f>'ADU-363'!$B$11</f>
        <v>Citoyen</v>
      </c>
      <c r="F79" s="468" t="str">
        <f>'ADU-363'!$B$5</f>
        <v>ECOPACK</v>
      </c>
      <c r="G79" s="534">
        <f>'ADU-363'!$B$16</f>
        <v>200000</v>
      </c>
      <c r="H79" s="468" t="str">
        <f>'ADU-363'!$B$6</f>
        <v>Pas de subside</v>
      </c>
      <c r="I79" s="534">
        <f>'ADU-363'!$B$17</f>
        <v>0</v>
      </c>
      <c r="J79" s="534">
        <f>'ADU-363'!$B$20</f>
        <v>2732.2654462242544</v>
      </c>
      <c r="K79" s="534">
        <f>'ADU-363'!$B$21</f>
        <v>0</v>
      </c>
      <c r="L79" s="535">
        <f>'ADU-363'!$B$23</f>
        <v>32.024706867671711</v>
      </c>
      <c r="M79" s="540">
        <f>'ADU-363'!$B$18/1000</f>
        <v>0</v>
      </c>
      <c r="N79" s="478">
        <f>IF(G79=0,0,M79/(G79-I79)*1000)</f>
        <v>0</v>
      </c>
      <c r="O79" s="538" t="str">
        <f>'ADU-363'!$E$5</f>
        <v>En cours</v>
      </c>
      <c r="P79" s="474">
        <f>'ADU-363'!$B$15</f>
        <v>2020</v>
      </c>
      <c r="Q79" s="475">
        <f t="shared" si="0"/>
        <v>0</v>
      </c>
      <c r="R79" s="478">
        <f>IF(O79="Terminé",M79,0)</f>
        <v>0</v>
      </c>
      <c r="S79" s="478">
        <f>IF(D79="Agriculture",R79,0)</f>
        <v>0</v>
      </c>
      <c r="T79" s="478">
        <f>IF(D79="Industrie", R79,0)</f>
        <v>0</v>
      </c>
      <c r="U79" s="478">
        <f>IF(D79="Logement", R79,0)</f>
        <v>0</v>
      </c>
      <c r="V79" s="478">
        <f>IF(D79="Tertiaire",R79,0)</f>
        <v>0</v>
      </c>
      <c r="W79" s="478">
        <f>IF(D79="Transport",R79,0)</f>
        <v>0</v>
      </c>
      <c r="X79" s="478">
        <f>IF(D79="Communal",R79,0)</f>
        <v>0</v>
      </c>
      <c r="Z79" s="670">
        <f t="shared" si="1"/>
        <v>0</v>
      </c>
      <c r="AA79" s="670">
        <f t="shared" si="2"/>
        <v>0</v>
      </c>
      <c r="AB79" s="670">
        <f t="shared" si="3"/>
        <v>0</v>
      </c>
      <c r="AC79" s="670">
        <f t="shared" si="4"/>
        <v>0</v>
      </c>
      <c r="AD79" s="416">
        <f t="shared" si="341"/>
        <v>0</v>
      </c>
      <c r="AE79" s="670">
        <f t="shared" si="6"/>
        <v>0</v>
      </c>
      <c r="AF79" s="671"/>
      <c r="AG79" s="670">
        <f t="shared" si="7"/>
        <v>0</v>
      </c>
      <c r="AH79" s="670">
        <f t="shared" si="8"/>
        <v>0</v>
      </c>
      <c r="AI79" s="670">
        <f t="shared" si="9"/>
        <v>0</v>
      </c>
      <c r="AJ79" s="670">
        <f t="shared" si="10"/>
        <v>0</v>
      </c>
      <c r="AK79" s="416">
        <f t="shared" si="342"/>
        <v>0</v>
      </c>
      <c r="AL79" s="670">
        <f t="shared" si="12"/>
        <v>0</v>
      </c>
      <c r="AM79" s="244"/>
      <c r="AN79" s="670">
        <f t="shared" si="13"/>
        <v>0</v>
      </c>
      <c r="AO79" s="670">
        <f t="shared" si="14"/>
        <v>0</v>
      </c>
      <c r="AP79" s="670">
        <f t="shared" si="15"/>
        <v>0</v>
      </c>
      <c r="AQ79" s="670">
        <f t="shared" si="16"/>
        <v>0</v>
      </c>
      <c r="AR79" s="670">
        <f t="shared" si="17"/>
        <v>0</v>
      </c>
      <c r="AS79" s="670">
        <f t="shared" si="18"/>
        <v>0</v>
      </c>
      <c r="AT79" s="670">
        <f t="shared" si="19"/>
        <v>0</v>
      </c>
      <c r="AU79" s="671"/>
      <c r="AV79" s="670">
        <f t="shared" si="20"/>
        <v>0</v>
      </c>
      <c r="AW79" s="670">
        <f t="shared" si="21"/>
        <v>0</v>
      </c>
      <c r="AX79" s="670">
        <f t="shared" si="22"/>
        <v>0</v>
      </c>
      <c r="AY79" s="670">
        <f t="shared" si="23"/>
        <v>0</v>
      </c>
      <c r="AZ79" s="670">
        <f t="shared" si="24"/>
        <v>0</v>
      </c>
      <c r="BA79" s="670">
        <f t="shared" si="25"/>
        <v>0</v>
      </c>
      <c r="BB79" s="670">
        <f t="shared" si="26"/>
        <v>0</v>
      </c>
      <c r="BC79" s="244"/>
      <c r="BD79" s="670">
        <f t="shared" si="27"/>
        <v>0</v>
      </c>
      <c r="BE79" s="670">
        <f t="shared" si="28"/>
        <v>0</v>
      </c>
      <c r="BF79" s="670">
        <f t="shared" si="29"/>
        <v>0</v>
      </c>
      <c r="BG79" s="670">
        <f t="shared" si="30"/>
        <v>0</v>
      </c>
      <c r="BH79" s="670">
        <f t="shared" si="31"/>
        <v>0</v>
      </c>
      <c r="BI79" s="670">
        <f t="shared" si="32"/>
        <v>0</v>
      </c>
      <c r="BJ79" s="670">
        <f t="shared" si="33"/>
        <v>0</v>
      </c>
      <c r="BK79" s="671"/>
      <c r="BL79" s="670">
        <f t="shared" si="34"/>
        <v>0</v>
      </c>
      <c r="BM79" s="670">
        <f t="shared" si="35"/>
        <v>0</v>
      </c>
      <c r="BN79" s="670">
        <f t="shared" si="36"/>
        <v>0</v>
      </c>
      <c r="BO79" s="670">
        <f t="shared" si="37"/>
        <v>0</v>
      </c>
      <c r="BP79" s="670">
        <f t="shared" si="38"/>
        <v>0</v>
      </c>
      <c r="BQ79" s="670">
        <f t="shared" si="39"/>
        <v>0</v>
      </c>
      <c r="BR79" s="670">
        <f t="shared" si="40"/>
        <v>0</v>
      </c>
    </row>
    <row r="80" spans="1:70" s="477" customFormat="1" x14ac:dyDescent="0.25">
      <c r="A80" s="676" t="s">
        <v>710</v>
      </c>
      <c r="B80" s="478" t="str">
        <f>'ADU-364'!$B$7</f>
        <v>Logement</v>
      </c>
      <c r="C80" s="478" t="str">
        <f>'ADU-364'!$B$8</f>
        <v>Pompes à chaleur A-E</v>
      </c>
      <c r="D80" s="478" t="str">
        <f>'ADU-364'!$C$4</f>
        <v>Logement</v>
      </c>
      <c r="E80" s="478" t="str">
        <f>'ADU-364'!$B$11</f>
        <v>Citoyen</v>
      </c>
      <c r="F80" s="468" t="str">
        <f>'ADU-364'!$B$5</f>
        <v>ECOPACK</v>
      </c>
      <c r="G80" s="534">
        <f>'ADU-364'!$B$16</f>
        <v>350000</v>
      </c>
      <c r="H80" s="468" t="str">
        <f>'ADU-364'!$B$6</f>
        <v>Prime RW</v>
      </c>
      <c r="I80" s="534">
        <f>'ADU-364'!$B$17</f>
        <v>40000</v>
      </c>
      <c r="J80" s="534">
        <f>'ADU-364'!$B$20</f>
        <v>3187.64302059496</v>
      </c>
      <c r="K80" s="534">
        <f>'ADU-364'!$B$21</f>
        <v>0</v>
      </c>
      <c r="L80" s="535">
        <f>'ADU-364'!$B$23</f>
        <v>26.665470208183823</v>
      </c>
      <c r="M80" s="540">
        <f>'ADU-364'!$B$18/1000</f>
        <v>0</v>
      </c>
      <c r="N80" s="478">
        <f>IF(G80=0,0,M80/(G80-I80)*1000)</f>
        <v>0</v>
      </c>
      <c r="O80" s="538" t="str">
        <f>'ADU-364'!$E$5</f>
        <v>En cours</v>
      </c>
      <c r="P80" s="474">
        <f>'ADU-364'!$B$15</f>
        <v>2020</v>
      </c>
      <c r="Q80" s="475">
        <f t="shared" si="0"/>
        <v>0</v>
      </c>
      <c r="R80" s="478">
        <f>IF(O80="Terminé",M80,0)</f>
        <v>0</v>
      </c>
      <c r="S80" s="478">
        <f>IF(D80="Agriculture",R80,0)</f>
        <v>0</v>
      </c>
      <c r="T80" s="478">
        <f>IF(D80="Industrie", R80,0)</f>
        <v>0</v>
      </c>
      <c r="U80" s="478">
        <f>IF(D80="Logement", R80,0)</f>
        <v>0</v>
      </c>
      <c r="V80" s="478">
        <f>IF(D80="Tertiaire",R80,0)</f>
        <v>0</v>
      </c>
      <c r="W80" s="478">
        <f>IF(D80="Transport",R80,0)</f>
        <v>0</v>
      </c>
      <c r="X80" s="478">
        <f>IF(D80="Communal",R80,0)</f>
        <v>0</v>
      </c>
      <c r="Z80" s="661">
        <f t="shared" si="1"/>
        <v>0</v>
      </c>
      <c r="AA80" s="661">
        <f t="shared" si="2"/>
        <v>0</v>
      </c>
      <c r="AB80" s="661">
        <f t="shared" si="3"/>
        <v>0</v>
      </c>
      <c r="AC80" s="661">
        <f t="shared" si="4"/>
        <v>0</v>
      </c>
      <c r="AD80" s="416">
        <f t="shared" si="341"/>
        <v>0</v>
      </c>
      <c r="AE80" s="661">
        <f t="shared" si="6"/>
        <v>0</v>
      </c>
      <c r="AF80" s="662"/>
      <c r="AG80" s="661">
        <f t="shared" si="7"/>
        <v>0</v>
      </c>
      <c r="AH80" s="661">
        <f t="shared" si="8"/>
        <v>0</v>
      </c>
      <c r="AI80" s="661">
        <f t="shared" si="9"/>
        <v>0</v>
      </c>
      <c r="AJ80" s="661">
        <f t="shared" si="10"/>
        <v>0</v>
      </c>
      <c r="AK80" s="416">
        <f t="shared" si="342"/>
        <v>0</v>
      </c>
      <c r="AL80" s="661">
        <f t="shared" si="12"/>
        <v>0</v>
      </c>
      <c r="AM80" s="244"/>
      <c r="AN80" s="661">
        <f t="shared" si="13"/>
        <v>0</v>
      </c>
      <c r="AO80" s="661">
        <f t="shared" si="14"/>
        <v>0</v>
      </c>
      <c r="AP80" s="661">
        <f t="shared" si="15"/>
        <v>0</v>
      </c>
      <c r="AQ80" s="661">
        <f t="shared" si="16"/>
        <v>0</v>
      </c>
      <c r="AR80" s="661">
        <f t="shared" si="17"/>
        <v>0</v>
      </c>
      <c r="AS80" s="661">
        <f t="shared" si="18"/>
        <v>0</v>
      </c>
      <c r="AT80" s="661">
        <f t="shared" si="19"/>
        <v>0</v>
      </c>
      <c r="AU80" s="662"/>
      <c r="AV80" s="661">
        <f t="shared" si="20"/>
        <v>0</v>
      </c>
      <c r="AW80" s="661">
        <f t="shared" si="21"/>
        <v>0</v>
      </c>
      <c r="AX80" s="661">
        <f t="shared" si="22"/>
        <v>0</v>
      </c>
      <c r="AY80" s="661">
        <f t="shared" si="23"/>
        <v>0</v>
      </c>
      <c r="AZ80" s="661">
        <f t="shared" si="24"/>
        <v>0</v>
      </c>
      <c r="BA80" s="661">
        <f t="shared" si="25"/>
        <v>0</v>
      </c>
      <c r="BB80" s="661">
        <f t="shared" si="26"/>
        <v>0</v>
      </c>
      <c r="BC80" s="244"/>
      <c r="BD80" s="661">
        <f t="shared" si="27"/>
        <v>0</v>
      </c>
      <c r="BE80" s="661">
        <f t="shared" si="28"/>
        <v>0</v>
      </c>
      <c r="BF80" s="661">
        <f t="shared" si="29"/>
        <v>0</v>
      </c>
      <c r="BG80" s="661">
        <f t="shared" si="30"/>
        <v>0</v>
      </c>
      <c r="BH80" s="661">
        <f t="shared" si="31"/>
        <v>0</v>
      </c>
      <c r="BI80" s="661">
        <f t="shared" si="32"/>
        <v>0</v>
      </c>
      <c r="BJ80" s="661">
        <f t="shared" si="33"/>
        <v>0</v>
      </c>
      <c r="BK80" s="662"/>
      <c r="BL80" s="661">
        <f t="shared" si="34"/>
        <v>0</v>
      </c>
      <c r="BM80" s="661">
        <f t="shared" si="35"/>
        <v>0</v>
      </c>
      <c r="BN80" s="661">
        <f t="shared" si="36"/>
        <v>0</v>
      </c>
      <c r="BO80" s="661">
        <f t="shared" si="37"/>
        <v>0</v>
      </c>
      <c r="BP80" s="661">
        <f t="shared" si="38"/>
        <v>0</v>
      </c>
      <c r="BQ80" s="661">
        <f t="shared" si="39"/>
        <v>0</v>
      </c>
      <c r="BR80" s="661">
        <f t="shared" si="40"/>
        <v>0</v>
      </c>
    </row>
    <row r="81" spans="1:70" s="576" customFormat="1" x14ac:dyDescent="0.25">
      <c r="A81" s="782" t="s">
        <v>720</v>
      </c>
      <c r="B81" s="624" t="str">
        <f>'ADU-365'!$B$7</f>
        <v>Logement</v>
      </c>
      <c r="C81" s="624" t="str">
        <f>'ADU-365'!$B$8</f>
        <v>Pompes à chaleur E-E</v>
      </c>
      <c r="D81" s="624" t="str">
        <f>'ADU-365'!$C$4</f>
        <v>Logement</v>
      </c>
      <c r="E81" s="624" t="str">
        <f>'ADU-365'!$B$11</f>
        <v>Citoyen</v>
      </c>
      <c r="F81" s="569" t="str">
        <f>'ADU-365'!$B$5</f>
        <v>Prêt bancaire</v>
      </c>
      <c r="G81" s="625">
        <f>'ADU-365'!$B$16</f>
        <v>750000</v>
      </c>
      <c r="H81" s="569" t="str">
        <f>'ADU-365'!$B$6</f>
        <v>Subs RW</v>
      </c>
      <c r="I81" s="625">
        <f>'ADU-365'!$B$17</f>
        <v>150000</v>
      </c>
      <c r="J81" s="625">
        <f>'ADU-365'!$B$20</f>
        <v>1496.1352657004827</v>
      </c>
      <c r="K81" s="625">
        <f>'ADU-365'!$B$21</f>
        <v>0</v>
      </c>
      <c r="L81" s="626">
        <f>'ADU-365'!$B$23</f>
        <v>398.02550855666783</v>
      </c>
      <c r="M81" s="631">
        <f>'ADU-365'!$B$18/1000</f>
        <v>0</v>
      </c>
      <c r="N81" s="624">
        <f>IF(G81=0,0,M81/(G81-I81)*1000)</f>
        <v>0</v>
      </c>
      <c r="O81" s="629" t="str">
        <f>'ADU-365'!$E$5</f>
        <v>A faire</v>
      </c>
      <c r="P81" s="574">
        <f>'ADU-365'!$B$15</f>
        <v>2020</v>
      </c>
      <c r="Q81" s="247">
        <f t="shared" si="0"/>
        <v>0</v>
      </c>
      <c r="R81" s="624">
        <f>IF(O81="Terminé",M81,0)</f>
        <v>0</v>
      </c>
      <c r="S81" s="624">
        <f>IF(D81="Agriculture",R81,0)</f>
        <v>0</v>
      </c>
      <c r="T81" s="624">
        <f>IF(D81="Industrie", R81,0)</f>
        <v>0</v>
      </c>
      <c r="U81" s="624">
        <f>IF(D81="Logement", R81,0)</f>
        <v>0</v>
      </c>
      <c r="V81" s="624">
        <f>IF(D81="Tertiaire",R81,0)</f>
        <v>0</v>
      </c>
      <c r="W81" s="624">
        <f>IF(D81="Transport",R81,0)</f>
        <v>0</v>
      </c>
      <c r="X81" s="624">
        <f>IF(D81="Communal",R81,0)</f>
        <v>0</v>
      </c>
      <c r="Z81" s="672">
        <f t="shared" si="1"/>
        <v>0</v>
      </c>
      <c r="AA81" s="672">
        <f t="shared" si="2"/>
        <v>0</v>
      </c>
      <c r="AB81" s="672">
        <f t="shared" si="3"/>
        <v>750000</v>
      </c>
      <c r="AC81" s="672">
        <f t="shared" si="4"/>
        <v>0</v>
      </c>
      <c r="AD81" s="416">
        <f t="shared" si="341"/>
        <v>0</v>
      </c>
      <c r="AE81" s="672">
        <f t="shared" si="6"/>
        <v>0</v>
      </c>
      <c r="AF81" s="673"/>
      <c r="AG81" s="672">
        <f t="shared" si="7"/>
        <v>0</v>
      </c>
      <c r="AH81" s="672">
        <f t="shared" si="8"/>
        <v>0</v>
      </c>
      <c r="AI81" s="672">
        <f t="shared" si="9"/>
        <v>150000</v>
      </c>
      <c r="AJ81" s="672">
        <f t="shared" si="10"/>
        <v>0</v>
      </c>
      <c r="AK81" s="416">
        <f t="shared" si="342"/>
        <v>0</v>
      </c>
      <c r="AL81" s="672">
        <f t="shared" si="12"/>
        <v>0</v>
      </c>
      <c r="AM81" s="244"/>
      <c r="AN81" s="672">
        <f t="shared" si="13"/>
        <v>0</v>
      </c>
      <c r="AO81" s="672">
        <f t="shared" si="14"/>
        <v>0</v>
      </c>
      <c r="AP81" s="672">
        <f t="shared" si="15"/>
        <v>0</v>
      </c>
      <c r="AQ81" s="672">
        <f t="shared" si="16"/>
        <v>750000</v>
      </c>
      <c r="AR81" s="672">
        <f t="shared" si="17"/>
        <v>0</v>
      </c>
      <c r="AS81" s="672">
        <f t="shared" si="18"/>
        <v>0</v>
      </c>
      <c r="AT81" s="672">
        <f t="shared" si="19"/>
        <v>0</v>
      </c>
      <c r="AU81" s="673"/>
      <c r="AV81" s="672">
        <f t="shared" si="20"/>
        <v>0</v>
      </c>
      <c r="AW81" s="672">
        <f t="shared" si="21"/>
        <v>0</v>
      </c>
      <c r="AX81" s="672">
        <f t="shared" si="22"/>
        <v>0</v>
      </c>
      <c r="AY81" s="672">
        <f t="shared" si="23"/>
        <v>150000</v>
      </c>
      <c r="AZ81" s="672">
        <f t="shared" si="24"/>
        <v>0</v>
      </c>
      <c r="BA81" s="672">
        <f t="shared" si="25"/>
        <v>0</v>
      </c>
      <c r="BB81" s="672">
        <f t="shared" si="26"/>
        <v>0</v>
      </c>
      <c r="BC81" s="244"/>
      <c r="BD81" s="672">
        <f t="shared" si="27"/>
        <v>0</v>
      </c>
      <c r="BE81" s="672">
        <f t="shared" si="28"/>
        <v>0</v>
      </c>
      <c r="BF81" s="672">
        <f t="shared" si="29"/>
        <v>0</v>
      </c>
      <c r="BG81" s="672">
        <f t="shared" si="30"/>
        <v>1496.1352657004827</v>
      </c>
      <c r="BH81" s="672">
        <f t="shared" si="31"/>
        <v>0</v>
      </c>
      <c r="BI81" s="672">
        <f t="shared" si="32"/>
        <v>0</v>
      </c>
      <c r="BJ81" s="672">
        <f t="shared" si="33"/>
        <v>0</v>
      </c>
      <c r="BK81" s="673"/>
      <c r="BL81" s="672">
        <f t="shared" si="34"/>
        <v>0</v>
      </c>
      <c r="BM81" s="672">
        <f t="shared" si="35"/>
        <v>0</v>
      </c>
      <c r="BN81" s="672">
        <f t="shared" si="36"/>
        <v>0</v>
      </c>
      <c r="BO81" s="672">
        <f t="shared" si="37"/>
        <v>0</v>
      </c>
      <c r="BP81" s="672">
        <f t="shared" si="38"/>
        <v>0</v>
      </c>
      <c r="BQ81" s="672">
        <f t="shared" si="39"/>
        <v>0</v>
      </c>
      <c r="BR81" s="672">
        <f t="shared" si="40"/>
        <v>0</v>
      </c>
    </row>
    <row r="82" spans="1:70" s="516" customFormat="1" x14ac:dyDescent="0.25">
      <c r="A82" s="647" t="s">
        <v>480</v>
      </c>
      <c r="B82" s="507" t="str">
        <f>'ADU-37'!$B$7</f>
        <v>Réseau de haies</v>
      </c>
      <c r="C82" s="507" t="str">
        <f>'ADU-37'!$B$8</f>
        <v>Réintroduction de haies vives</v>
      </c>
      <c r="D82" s="507" t="str">
        <f>'ADU-37'!$C$4</f>
        <v>Territoire</v>
      </c>
      <c r="E82" s="507" t="str">
        <f>'ADU-37'!$B$11</f>
        <v>AC HABAY</v>
      </c>
      <c r="F82" s="508" t="str">
        <f>'ADU-37'!$B$5</f>
        <v>Fonds propres</v>
      </c>
      <c r="G82" s="509">
        <f>'ADU-37'!$B$16</f>
        <v>12000</v>
      </c>
      <c r="H82" s="508" t="str">
        <f>'ADU-37'!$B$6</f>
        <v>Subs RW</v>
      </c>
      <c r="I82" s="509">
        <f>'ADU-37'!$B$17</f>
        <v>8400</v>
      </c>
      <c r="J82" s="509">
        <f>'ADU-37'!$B$20</f>
        <v>1</v>
      </c>
      <c r="K82" s="509">
        <f>'ADU-37'!$B$21</f>
        <v>0</v>
      </c>
      <c r="L82" s="507">
        <f>'ADU-37'!$B$23</f>
        <v>3600</v>
      </c>
      <c r="M82" s="519">
        <f>'ADU-37'!$B$18/1000</f>
        <v>0</v>
      </c>
      <c r="N82" s="507">
        <f t="shared" si="391"/>
        <v>0</v>
      </c>
      <c r="O82" s="512" t="str">
        <f>'ADU-37'!$E$5</f>
        <v>Terminé</v>
      </c>
      <c r="P82" s="513">
        <f>'ADU-37'!$B$15</f>
        <v>2020</v>
      </c>
      <c r="Q82" s="514">
        <f t="shared" si="0"/>
        <v>0</v>
      </c>
      <c r="R82" s="507">
        <f t="shared" si="238"/>
        <v>0</v>
      </c>
      <c r="S82" s="507">
        <f t="shared" si="239"/>
        <v>0</v>
      </c>
      <c r="T82" s="507">
        <f t="shared" si="240"/>
        <v>0</v>
      </c>
      <c r="U82" s="507">
        <f t="shared" si="241"/>
        <v>0</v>
      </c>
      <c r="V82" s="507">
        <f t="shared" si="242"/>
        <v>0</v>
      </c>
      <c r="W82" s="507">
        <f t="shared" si="243"/>
        <v>0</v>
      </c>
      <c r="X82" s="507">
        <f t="shared" si="244"/>
        <v>0</v>
      </c>
      <c r="Z82" s="672">
        <f t="shared" si="1"/>
        <v>0</v>
      </c>
      <c r="AA82" s="672">
        <f t="shared" si="2"/>
        <v>0</v>
      </c>
      <c r="AB82" s="672">
        <f t="shared" si="3"/>
        <v>0</v>
      </c>
      <c r="AC82" s="672">
        <f t="shared" si="4"/>
        <v>0</v>
      </c>
      <c r="AD82" s="416">
        <f t="shared" si="341"/>
        <v>0</v>
      </c>
      <c r="AE82" s="672">
        <f t="shared" si="6"/>
        <v>0</v>
      </c>
      <c r="AF82" s="673"/>
      <c r="AG82" s="672">
        <f t="shared" si="7"/>
        <v>0</v>
      </c>
      <c r="AH82" s="672">
        <f t="shared" si="8"/>
        <v>0</v>
      </c>
      <c r="AI82" s="672">
        <f t="shared" si="9"/>
        <v>0</v>
      </c>
      <c r="AJ82" s="672">
        <f t="shared" si="10"/>
        <v>0</v>
      </c>
      <c r="AK82" s="416">
        <f t="shared" si="342"/>
        <v>0</v>
      </c>
      <c r="AL82" s="672">
        <f t="shared" si="12"/>
        <v>0</v>
      </c>
      <c r="AM82" s="244"/>
      <c r="AN82" s="672">
        <f t="shared" si="13"/>
        <v>0</v>
      </c>
      <c r="AO82" s="672">
        <f t="shared" si="14"/>
        <v>0</v>
      </c>
      <c r="AP82" s="672">
        <f t="shared" si="15"/>
        <v>0</v>
      </c>
      <c r="AQ82" s="672">
        <f t="shared" si="16"/>
        <v>0</v>
      </c>
      <c r="AR82" s="672">
        <f t="shared" si="17"/>
        <v>0</v>
      </c>
      <c r="AS82" s="672">
        <f t="shared" si="18"/>
        <v>0</v>
      </c>
      <c r="AT82" s="672">
        <f t="shared" si="19"/>
        <v>0</v>
      </c>
      <c r="AU82" s="673"/>
      <c r="AV82" s="672">
        <f t="shared" si="20"/>
        <v>0</v>
      </c>
      <c r="AW82" s="672">
        <f t="shared" si="21"/>
        <v>0</v>
      </c>
      <c r="AX82" s="672">
        <f t="shared" si="22"/>
        <v>0</v>
      </c>
      <c r="AY82" s="672">
        <f t="shared" si="23"/>
        <v>0</v>
      </c>
      <c r="AZ82" s="672">
        <f t="shared" si="24"/>
        <v>0</v>
      </c>
      <c r="BA82" s="672">
        <f t="shared" si="25"/>
        <v>0</v>
      </c>
      <c r="BB82" s="672">
        <f t="shared" si="26"/>
        <v>0</v>
      </c>
      <c r="BC82" s="244"/>
      <c r="BD82" s="672">
        <f t="shared" si="27"/>
        <v>0</v>
      </c>
      <c r="BE82" s="672">
        <f t="shared" si="28"/>
        <v>0</v>
      </c>
      <c r="BF82" s="672">
        <f t="shared" si="29"/>
        <v>0</v>
      </c>
      <c r="BG82" s="672">
        <f t="shared" si="30"/>
        <v>0</v>
      </c>
      <c r="BH82" s="672">
        <f t="shared" si="31"/>
        <v>0</v>
      </c>
      <c r="BI82" s="672">
        <f t="shared" si="32"/>
        <v>0</v>
      </c>
      <c r="BJ82" s="672">
        <f t="shared" si="33"/>
        <v>0</v>
      </c>
      <c r="BK82" s="673"/>
      <c r="BL82" s="672">
        <f t="shared" si="34"/>
        <v>0</v>
      </c>
      <c r="BM82" s="672">
        <f t="shared" si="35"/>
        <v>0</v>
      </c>
      <c r="BN82" s="672">
        <f t="shared" si="36"/>
        <v>0</v>
      </c>
      <c r="BO82" s="672">
        <f t="shared" si="37"/>
        <v>0</v>
      </c>
      <c r="BP82" s="672">
        <f t="shared" si="38"/>
        <v>0</v>
      </c>
      <c r="BQ82" s="672">
        <f t="shared" si="39"/>
        <v>0</v>
      </c>
      <c r="BR82" s="672">
        <f t="shared" si="40"/>
        <v>0</v>
      </c>
    </row>
    <row r="83" spans="1:70" s="516" customFormat="1" x14ac:dyDescent="0.25">
      <c r="A83" s="647" t="s">
        <v>905</v>
      </c>
      <c r="B83" s="507" t="str">
        <f>'ADU-371'!$B$7</f>
        <v>Réseau de haies</v>
      </c>
      <c r="C83" s="507" t="str">
        <f>'ADU-371'!$B$8</f>
        <v>Réintroduction de haies vives</v>
      </c>
      <c r="D83" s="507" t="str">
        <f>'ADU-371'!$C$4</f>
        <v>Agriculture</v>
      </c>
      <c r="E83" s="507" t="str">
        <f>'ADU-371'!$B$11</f>
        <v>Agriculture</v>
      </c>
      <c r="F83" s="508" t="str">
        <f>'ADU-371'!$B$5</f>
        <v>Fonds propres</v>
      </c>
      <c r="G83" s="509">
        <f>'ADU-371'!$B$16</f>
        <v>15000</v>
      </c>
      <c r="H83" s="508" t="str">
        <f>'ADU-371'!$B$6</f>
        <v>Subs RW</v>
      </c>
      <c r="I83" s="509">
        <f>'ADU-371'!$B$17</f>
        <v>10500</v>
      </c>
      <c r="J83" s="509">
        <f>'ADU-371'!$B$20</f>
        <v>1</v>
      </c>
      <c r="K83" s="509">
        <f>'ADU-371'!$B$21</f>
        <v>0</v>
      </c>
      <c r="L83" s="518">
        <f>'ADU-371'!$B$23</f>
        <v>4500</v>
      </c>
      <c r="M83" s="519">
        <f>'ADU-371'!$B$24</f>
        <v>90.522000000000006</v>
      </c>
      <c r="N83" s="507">
        <f t="shared" ref="N83" si="392">IF(G83=0,0,M83/(G83-I83)*1000)</f>
        <v>20.116000000000003</v>
      </c>
      <c r="O83" s="512" t="str">
        <f>'ADU-371'!$E$5</f>
        <v>A faire</v>
      </c>
      <c r="P83" s="513">
        <f>'ADU-371'!$B$15</f>
        <v>2020</v>
      </c>
      <c r="Q83" s="514">
        <f t="shared" ref="Q83" si="393">IF(O83="Terminé",M83,0)</f>
        <v>0</v>
      </c>
      <c r="R83" s="507">
        <f t="shared" ref="R83" si="394">IF(O83="Terminé",M83,0)</f>
        <v>0</v>
      </c>
      <c r="S83" s="507">
        <f t="shared" ref="S83" si="395">IF(D83="Agriculture",R83,0)</f>
        <v>0</v>
      </c>
      <c r="T83" s="507">
        <f t="shared" ref="T83" si="396">IF(D83="Industrie", R83,0)</f>
        <v>0</v>
      </c>
      <c r="U83" s="507">
        <f t="shared" ref="U83" si="397">IF(D83="Logement", R83,0)</f>
        <v>0</v>
      </c>
      <c r="V83" s="507">
        <f t="shared" ref="V83" si="398">IF(D83="Tertiaire",R83,0)</f>
        <v>0</v>
      </c>
      <c r="W83" s="507">
        <f t="shared" ref="W83" si="399">IF(D83="Transport",R83,0)</f>
        <v>0</v>
      </c>
      <c r="X83" s="507">
        <f t="shared" ref="X83" si="400">IF(D83="Communal",R83,0)</f>
        <v>0</v>
      </c>
      <c r="Z83" s="672">
        <f t="shared" ref="Z83" si="401">IF((O83="A faire")*AND(E83="Agriculture"),G83,0)</f>
        <v>15000</v>
      </c>
      <c r="AA83" s="672">
        <f t="shared" ref="AA83" si="402">IF((O83="A faire")*AND(E83="Industrie"),G83,0)</f>
        <v>0</v>
      </c>
      <c r="AB83" s="672">
        <f t="shared" ref="AB83" si="403">IF((O83="A faire")*AND(E83="Citoyen"),G83,0)</f>
        <v>0</v>
      </c>
      <c r="AC83" s="672">
        <f t="shared" ref="AC83" si="404">IF((O83="A faire")*AND(E83="IDELUX"),G83,0)</f>
        <v>0</v>
      </c>
      <c r="AD83" s="416">
        <f t="shared" ref="AD83" si="405">IF((O83="A faire")*AND(E83="AC HABAY"),G83,0)</f>
        <v>0</v>
      </c>
      <c r="AE83" s="672">
        <f t="shared" ref="AE83" si="406">IF((O83="A faire")*AND(E83="Tertiaire"),G83,0)</f>
        <v>0</v>
      </c>
      <c r="AF83" s="673"/>
      <c r="AG83" s="672">
        <f t="shared" ref="AG83" si="407">IF((O83="A faire")*AND(E83="Agriculture"),I83,0)</f>
        <v>10500</v>
      </c>
      <c r="AH83" s="672">
        <f t="shared" ref="AH83" si="408">IF((O83="A faire")*AND(E83="Industrie"),I83,0)</f>
        <v>0</v>
      </c>
      <c r="AI83" s="672">
        <f t="shared" ref="AI83" si="409">IF((O83="A faire")*AND(E83="Citoyen"),I83,0)</f>
        <v>0</v>
      </c>
      <c r="AJ83" s="672">
        <f t="shared" ref="AJ83" si="410">IF((O83="A faire")*AND(E83="IDELUX"),I83,0)</f>
        <v>0</v>
      </c>
      <c r="AK83" s="416">
        <f t="shared" ref="AK83" si="411">IF((O83="A faire")*AND(E83="AC HABAY"),I83,0)</f>
        <v>0</v>
      </c>
      <c r="AL83" s="672">
        <f t="shared" ref="AL83" si="412">IF((O83="A faire")*AND(E83="Tertiaire"),I83,0)</f>
        <v>0</v>
      </c>
      <c r="AM83" s="244"/>
      <c r="AN83" s="672">
        <f t="shared" ref="AN83" si="413">IF((O83="A faire")*AND(D83="Territoire"),G83,0)</f>
        <v>0</v>
      </c>
      <c r="AO83" s="672">
        <f t="shared" ref="AO83" si="414">IF((O83="A faire")*AND(D83="Agriculture"),G83,0)</f>
        <v>15000</v>
      </c>
      <c r="AP83" s="672">
        <f t="shared" ref="AP83" si="415">IF((O83="A faire")*AND(D83="Industrie"),G83,0)</f>
        <v>0</v>
      </c>
      <c r="AQ83" s="672">
        <f t="shared" ref="AQ83" si="416">IF((O83="A faire")*AND(D83="Logement"),G83,0)</f>
        <v>0</v>
      </c>
      <c r="AR83" s="672">
        <f t="shared" ref="AR83" si="417">IF((O83="A faire")*AND(D83="Tertiaire"),G83,0)</f>
        <v>0</v>
      </c>
      <c r="AS83" s="672">
        <f t="shared" ref="AS83" si="418">IF((O83="A faire")*AND(D83="Transport"),G83,0)</f>
        <v>0</v>
      </c>
      <c r="AT83" s="672">
        <f t="shared" ref="AT83" si="419">IF((O83="A faire")*AND(D83="Communal"),G83,0)</f>
        <v>0</v>
      </c>
      <c r="AU83" s="673"/>
      <c r="AV83" s="672">
        <f t="shared" ref="AV83" si="420">IF((O83="A faire")*AND(D83="Territoire"),I83,0)</f>
        <v>0</v>
      </c>
      <c r="AW83" s="672">
        <f t="shared" ref="AW83" si="421">IF((O83="A faire")*AND(D83="Agriculture"),I83,0)</f>
        <v>10500</v>
      </c>
      <c r="AX83" s="672">
        <f t="shared" ref="AX83" si="422">IF((O83="A faire")*AND(D83="Industrie"),I83,0)</f>
        <v>0</v>
      </c>
      <c r="AY83" s="672">
        <f t="shared" ref="AY83" si="423">IF((O83="A faire")*AND(D83="Logement"),I83,0)</f>
        <v>0</v>
      </c>
      <c r="AZ83" s="672">
        <f t="shared" ref="AZ83" si="424">IF((O83="A faire")*AND(D83="Tertiaire"),I83,0)</f>
        <v>0</v>
      </c>
      <c r="BA83" s="672">
        <f t="shared" ref="BA83" si="425">IF((O83="A faire")*AND(D83="Transport"),I83,0)</f>
        <v>0</v>
      </c>
      <c r="BB83" s="672">
        <f t="shared" ref="BB83" si="426">IF((O83="A faire")*AND(D83="Communal"),I83,0)</f>
        <v>0</v>
      </c>
      <c r="BC83" s="244"/>
      <c r="BD83" s="672">
        <f t="shared" ref="BD83" si="427">IF((O83="A faire")*AND(D83="Territoire"),J83,0)</f>
        <v>0</v>
      </c>
      <c r="BE83" s="672">
        <f t="shared" ref="BE83" si="428">IF((O83="A faire")*AND(D83="Agriculture"),J83,0)</f>
        <v>1</v>
      </c>
      <c r="BF83" s="672">
        <f t="shared" ref="BF83" si="429">IF((O83="A faire")*AND(D83="Industrie"),J83,0)</f>
        <v>0</v>
      </c>
      <c r="BG83" s="672">
        <f t="shared" ref="BG83" si="430">IF((O83="A faire")*AND(D83="Logement"),J83,0)</f>
        <v>0</v>
      </c>
      <c r="BH83" s="672">
        <f t="shared" ref="BH83" si="431">IF((O83="A faire")*AND(D83="Tertiaire"),2,0)</f>
        <v>0</v>
      </c>
      <c r="BI83" s="672">
        <f t="shared" ref="BI83" si="432">IF((O83="A faire")*AND(D83="Transport"),J83,0)</f>
        <v>0</v>
      </c>
      <c r="BJ83" s="672">
        <f t="shared" ref="BJ83" si="433">IF((O83="A faire")*AND(D83="Communal"),J83,0)</f>
        <v>0</v>
      </c>
      <c r="BK83" s="673"/>
      <c r="BL83" s="672">
        <f t="shared" ref="BL83" si="434">IF((O83="A faire")*AND(D83="Territoire"),K83,0)</f>
        <v>0</v>
      </c>
      <c r="BM83" s="672">
        <f t="shared" ref="BM83" si="435">IF((O83="A faire")*AND(D83="Agriculture"),K83,0)</f>
        <v>0</v>
      </c>
      <c r="BN83" s="672">
        <f t="shared" ref="BN83" si="436">IF((O83="A faire")*AND(D83="Industrie"),K83,0)</f>
        <v>0</v>
      </c>
      <c r="BO83" s="672">
        <f t="shared" ref="BO83" si="437">IF((O83="A faire")*AND(D83="Logement"),K83,0)</f>
        <v>0</v>
      </c>
      <c r="BP83" s="672">
        <f t="shared" ref="BP83" si="438">IF((O83="A faire")*AND(D83="Tertiaire"),K83,0)</f>
        <v>0</v>
      </c>
      <c r="BQ83" s="672">
        <f t="shared" ref="BQ83" si="439">IF((O83="A faire")*AND(D83="Transport"),K83,0)</f>
        <v>0</v>
      </c>
      <c r="BR83" s="672">
        <f t="shared" ref="BR83" si="440">IF((O83="A faire")*AND(D83="Communal"),K83,0)</f>
        <v>0</v>
      </c>
    </row>
    <row r="84" spans="1:70" s="516" customFormat="1" x14ac:dyDescent="0.25">
      <c r="A84" s="647" t="s">
        <v>479</v>
      </c>
      <c r="B84" s="507" t="str">
        <f>'ADU-38'!$B$7</f>
        <v>Séquestration de CO2</v>
      </c>
      <c r="C84" s="507" t="str">
        <f>'ADU-38'!$B$8</f>
        <v>Vergers conservateurs</v>
      </c>
      <c r="D84" s="507" t="str">
        <f>'ADU-38'!$C$4</f>
        <v>Territoire</v>
      </c>
      <c r="E84" s="507" t="str">
        <f>'ADU-38'!$B$11</f>
        <v>AC HABAY</v>
      </c>
      <c r="F84" s="508" t="str">
        <f>'ADU-38'!$B$5</f>
        <v>Fonds propres</v>
      </c>
      <c r="G84" s="509">
        <f>'ADU-38'!$B$16</f>
        <v>54000</v>
      </c>
      <c r="H84" s="508" t="str">
        <f>'ADU-38'!$B$6</f>
        <v>Subs RW</v>
      </c>
      <c r="I84" s="509">
        <f>'ADU-38'!$B$17</f>
        <v>37800</v>
      </c>
      <c r="J84" s="509">
        <f>'ADU-38'!$B$20</f>
        <v>1</v>
      </c>
      <c r="K84" s="509">
        <f>'ADU-38'!$B$21</f>
        <v>0</v>
      </c>
      <c r="L84" s="507">
        <f>'ADU-38'!$B$23</f>
        <v>16200</v>
      </c>
      <c r="M84" s="519">
        <f>'ADU-38'!$B$18/1000</f>
        <v>0</v>
      </c>
      <c r="N84" s="507">
        <f t="shared" si="391"/>
        <v>0</v>
      </c>
      <c r="O84" s="512" t="str">
        <f>'ADU-38'!$E$5</f>
        <v>Terminé</v>
      </c>
      <c r="P84" s="513">
        <f>'ADU-38'!$B$15</f>
        <v>2020</v>
      </c>
      <c r="Q84" s="514">
        <f t="shared" si="0"/>
        <v>0</v>
      </c>
      <c r="R84" s="507">
        <f t="shared" si="238"/>
        <v>0</v>
      </c>
      <c r="S84" s="507">
        <f t="shared" si="239"/>
        <v>0</v>
      </c>
      <c r="T84" s="507">
        <f t="shared" si="240"/>
        <v>0</v>
      </c>
      <c r="U84" s="507">
        <f t="shared" si="241"/>
        <v>0</v>
      </c>
      <c r="V84" s="507">
        <f t="shared" si="242"/>
        <v>0</v>
      </c>
      <c r="W84" s="507">
        <f t="shared" si="243"/>
        <v>0</v>
      </c>
      <c r="X84" s="507">
        <f t="shared" si="244"/>
        <v>0</v>
      </c>
      <c r="Z84" s="674">
        <f t="shared" si="1"/>
        <v>0</v>
      </c>
      <c r="AA84" s="674">
        <f t="shared" si="2"/>
        <v>0</v>
      </c>
      <c r="AB84" s="674">
        <f t="shared" si="3"/>
        <v>0</v>
      </c>
      <c r="AC84" s="674">
        <f t="shared" si="4"/>
        <v>0</v>
      </c>
      <c r="AD84" s="416">
        <f t="shared" si="341"/>
        <v>0</v>
      </c>
      <c r="AE84" s="674">
        <f t="shared" si="6"/>
        <v>0</v>
      </c>
      <c r="AF84" s="675"/>
      <c r="AG84" s="674">
        <f t="shared" si="7"/>
        <v>0</v>
      </c>
      <c r="AH84" s="674">
        <f t="shared" si="8"/>
        <v>0</v>
      </c>
      <c r="AI84" s="674">
        <f t="shared" si="9"/>
        <v>0</v>
      </c>
      <c r="AJ84" s="674">
        <f t="shared" si="10"/>
        <v>0</v>
      </c>
      <c r="AK84" s="416">
        <f t="shared" si="342"/>
        <v>0</v>
      </c>
      <c r="AL84" s="674">
        <f t="shared" si="12"/>
        <v>0</v>
      </c>
      <c r="AM84" s="244"/>
      <c r="AN84" s="674">
        <f t="shared" si="13"/>
        <v>0</v>
      </c>
      <c r="AO84" s="674">
        <f t="shared" si="14"/>
        <v>0</v>
      </c>
      <c r="AP84" s="674">
        <f t="shared" si="15"/>
        <v>0</v>
      </c>
      <c r="AQ84" s="674">
        <f t="shared" si="16"/>
        <v>0</v>
      </c>
      <c r="AR84" s="674">
        <f t="shared" si="17"/>
        <v>0</v>
      </c>
      <c r="AS84" s="674">
        <f t="shared" si="18"/>
        <v>0</v>
      </c>
      <c r="AT84" s="674">
        <f t="shared" si="19"/>
        <v>0</v>
      </c>
      <c r="AU84" s="675"/>
      <c r="AV84" s="674">
        <f t="shared" si="20"/>
        <v>0</v>
      </c>
      <c r="AW84" s="674">
        <f t="shared" si="21"/>
        <v>0</v>
      </c>
      <c r="AX84" s="674">
        <f t="shared" si="22"/>
        <v>0</v>
      </c>
      <c r="AY84" s="674">
        <f t="shared" si="23"/>
        <v>0</v>
      </c>
      <c r="AZ84" s="674">
        <f t="shared" si="24"/>
        <v>0</v>
      </c>
      <c r="BA84" s="674">
        <f t="shared" si="25"/>
        <v>0</v>
      </c>
      <c r="BB84" s="674">
        <f t="shared" si="26"/>
        <v>0</v>
      </c>
      <c r="BC84" s="244"/>
      <c r="BD84" s="674">
        <f t="shared" si="27"/>
        <v>0</v>
      </c>
      <c r="BE84" s="674">
        <f t="shared" si="28"/>
        <v>0</v>
      </c>
      <c r="BF84" s="674">
        <f t="shared" si="29"/>
        <v>0</v>
      </c>
      <c r="BG84" s="674">
        <f t="shared" si="30"/>
        <v>0</v>
      </c>
      <c r="BH84" s="674">
        <f t="shared" si="31"/>
        <v>0</v>
      </c>
      <c r="BI84" s="674">
        <f t="shared" si="32"/>
        <v>0</v>
      </c>
      <c r="BJ84" s="674">
        <f t="shared" si="33"/>
        <v>0</v>
      </c>
      <c r="BK84" s="675"/>
      <c r="BL84" s="674">
        <f t="shared" si="34"/>
        <v>0</v>
      </c>
      <c r="BM84" s="674">
        <f t="shared" si="35"/>
        <v>0</v>
      </c>
      <c r="BN84" s="674">
        <f t="shared" si="36"/>
        <v>0</v>
      </c>
      <c r="BO84" s="674">
        <f t="shared" si="37"/>
        <v>0</v>
      </c>
      <c r="BP84" s="674">
        <f t="shared" si="38"/>
        <v>0</v>
      </c>
      <c r="BQ84" s="674">
        <f t="shared" si="39"/>
        <v>0</v>
      </c>
      <c r="BR84" s="674">
        <f t="shared" si="40"/>
        <v>0</v>
      </c>
    </row>
    <row r="85" spans="1:70" s="516" customFormat="1" x14ac:dyDescent="0.25">
      <c r="A85" s="647" t="s">
        <v>719</v>
      </c>
      <c r="B85" s="507" t="str">
        <f>'ADU-381'!$B$7</f>
        <v>Séquestration de CO2 par reboisement</v>
      </c>
      <c r="C85" s="507" t="str">
        <f>'ADU-381'!$B$8</f>
        <v>Reboisement d'aires non valorisées</v>
      </c>
      <c r="D85" s="507" t="str">
        <f>'ADU-381'!$C$4</f>
        <v>Territoire</v>
      </c>
      <c r="E85" s="507" t="str">
        <f>'ADU-381'!$B$11</f>
        <v>AC HABAY</v>
      </c>
      <c r="F85" s="508" t="str">
        <f>'ADU-381'!$B$5</f>
        <v>Fonds propres</v>
      </c>
      <c r="G85" s="509">
        <f>'ADU-381'!$B$16</f>
        <v>12000</v>
      </c>
      <c r="H85" s="508" t="str">
        <f>'ADU-381'!$B$6</f>
        <v>Subs RW</v>
      </c>
      <c r="I85" s="509">
        <f>'ADU-381'!$B$17</f>
        <v>8400</v>
      </c>
      <c r="J85" s="509">
        <f>'ADU-381'!$B$20</f>
        <v>1</v>
      </c>
      <c r="K85" s="509">
        <f>'ADU-381'!$B$21</f>
        <v>0</v>
      </c>
      <c r="L85" s="518">
        <f>'ADU-381'!$B$23</f>
        <v>3600</v>
      </c>
      <c r="M85" s="519">
        <f>'ADU-381'!$B$18/1000</f>
        <v>0</v>
      </c>
      <c r="N85" s="507">
        <f>IF(G85=0,0,M85/(G85-I85)*1000)</f>
        <v>0</v>
      </c>
      <c r="O85" s="512" t="str">
        <f>'ADU-381'!$E$5</f>
        <v>Terminé</v>
      </c>
      <c r="P85" s="513">
        <f>'ADU-381'!$B$15</f>
        <v>2015</v>
      </c>
      <c r="Q85" s="514">
        <f t="shared" si="0"/>
        <v>0</v>
      </c>
      <c r="R85" s="507">
        <f>IF(O85="Terminé",M85,0)</f>
        <v>0</v>
      </c>
      <c r="S85" s="507">
        <f>IF(D85="Agriculture",R85,0)</f>
        <v>0</v>
      </c>
      <c r="T85" s="507">
        <f>IF(D85="Industrie", R85,0)</f>
        <v>0</v>
      </c>
      <c r="U85" s="507">
        <f>IF(D85="Logement", R85,0)</f>
        <v>0</v>
      </c>
      <c r="V85" s="507">
        <f>IF(D85="Tertiaire",R85,0)</f>
        <v>0</v>
      </c>
      <c r="W85" s="507">
        <f>IF(D85="Transport",R85,0)</f>
        <v>0</v>
      </c>
      <c r="X85" s="507">
        <f>IF(D85="Communal",R85,0)</f>
        <v>0</v>
      </c>
      <c r="Z85" s="674">
        <f t="shared" si="1"/>
        <v>0</v>
      </c>
      <c r="AA85" s="674">
        <f t="shared" si="2"/>
        <v>0</v>
      </c>
      <c r="AB85" s="674">
        <f t="shared" si="3"/>
        <v>0</v>
      </c>
      <c r="AC85" s="674">
        <f t="shared" si="4"/>
        <v>0</v>
      </c>
      <c r="AD85" s="416">
        <f t="shared" si="341"/>
        <v>0</v>
      </c>
      <c r="AE85" s="674">
        <f t="shared" si="6"/>
        <v>0</v>
      </c>
      <c r="AF85" s="675"/>
      <c r="AG85" s="674">
        <f t="shared" si="7"/>
        <v>0</v>
      </c>
      <c r="AH85" s="674">
        <f t="shared" si="8"/>
        <v>0</v>
      </c>
      <c r="AI85" s="674">
        <f t="shared" si="9"/>
        <v>0</v>
      </c>
      <c r="AJ85" s="674">
        <f t="shared" si="10"/>
        <v>0</v>
      </c>
      <c r="AK85" s="416">
        <f t="shared" si="342"/>
        <v>0</v>
      </c>
      <c r="AL85" s="674">
        <f t="shared" si="12"/>
        <v>0</v>
      </c>
      <c r="AM85" s="244"/>
      <c r="AN85" s="674">
        <f t="shared" si="13"/>
        <v>0</v>
      </c>
      <c r="AO85" s="674">
        <f t="shared" si="14"/>
        <v>0</v>
      </c>
      <c r="AP85" s="674">
        <f t="shared" si="15"/>
        <v>0</v>
      </c>
      <c r="AQ85" s="674">
        <f t="shared" si="16"/>
        <v>0</v>
      </c>
      <c r="AR85" s="674">
        <f t="shared" si="17"/>
        <v>0</v>
      </c>
      <c r="AS85" s="674">
        <f t="shared" si="18"/>
        <v>0</v>
      </c>
      <c r="AT85" s="674">
        <f t="shared" si="19"/>
        <v>0</v>
      </c>
      <c r="AU85" s="675"/>
      <c r="AV85" s="674">
        <f t="shared" si="20"/>
        <v>0</v>
      </c>
      <c r="AW85" s="674">
        <f t="shared" si="21"/>
        <v>0</v>
      </c>
      <c r="AX85" s="674">
        <f t="shared" si="22"/>
        <v>0</v>
      </c>
      <c r="AY85" s="674">
        <f t="shared" si="23"/>
        <v>0</v>
      </c>
      <c r="AZ85" s="674">
        <f t="shared" si="24"/>
        <v>0</v>
      </c>
      <c r="BA85" s="674">
        <f t="shared" si="25"/>
        <v>0</v>
      </c>
      <c r="BB85" s="674">
        <f t="shared" si="26"/>
        <v>0</v>
      </c>
      <c r="BC85" s="244"/>
      <c r="BD85" s="674">
        <f t="shared" si="27"/>
        <v>0</v>
      </c>
      <c r="BE85" s="674">
        <f t="shared" si="28"/>
        <v>0</v>
      </c>
      <c r="BF85" s="674">
        <f t="shared" si="29"/>
        <v>0</v>
      </c>
      <c r="BG85" s="674">
        <f t="shared" si="30"/>
        <v>0</v>
      </c>
      <c r="BH85" s="674">
        <f t="shared" si="31"/>
        <v>0</v>
      </c>
      <c r="BI85" s="674">
        <f t="shared" si="32"/>
        <v>0</v>
      </c>
      <c r="BJ85" s="674">
        <f t="shared" si="33"/>
        <v>0</v>
      </c>
      <c r="BK85" s="675"/>
      <c r="BL85" s="674">
        <f t="shared" si="34"/>
        <v>0</v>
      </c>
      <c r="BM85" s="674">
        <f t="shared" si="35"/>
        <v>0</v>
      </c>
      <c r="BN85" s="674">
        <f t="shared" si="36"/>
        <v>0</v>
      </c>
      <c r="BO85" s="674">
        <f t="shared" si="37"/>
        <v>0</v>
      </c>
      <c r="BP85" s="674">
        <f t="shared" si="38"/>
        <v>0</v>
      </c>
      <c r="BQ85" s="674">
        <f t="shared" si="39"/>
        <v>0</v>
      </c>
      <c r="BR85" s="674">
        <f t="shared" si="40"/>
        <v>0</v>
      </c>
    </row>
    <row r="86" spans="1:70" s="516" customFormat="1" x14ac:dyDescent="0.25">
      <c r="A86" s="647" t="s">
        <v>800</v>
      </c>
      <c r="B86" s="507" t="str">
        <f>'ADU-389'!$B$7</f>
        <v>Production de combustible biomasse</v>
      </c>
      <c r="C86" s="507" t="str">
        <f>'ADU-389'!$B$8</f>
        <v>Culture de myscanthus</v>
      </c>
      <c r="D86" s="507" t="str">
        <f>'ADU-389'!$C$4</f>
        <v>Agriculture</v>
      </c>
      <c r="E86" s="507" t="str">
        <f>'ADU-389'!$B$11</f>
        <v>Agriculture</v>
      </c>
      <c r="F86" s="508" t="str">
        <f>'ADU-389'!$B$5</f>
        <v>Fonds propres</v>
      </c>
      <c r="G86" s="509">
        <f>'ADU-389'!$B$16</f>
        <v>10000</v>
      </c>
      <c r="H86" s="508" t="str">
        <f>'ADU-389'!$B$6</f>
        <v>Subs RW</v>
      </c>
      <c r="I86" s="509">
        <f>'ADU-389'!$B$17</f>
        <v>7000</v>
      </c>
      <c r="J86" s="509">
        <f>'ADU-389'!$B$20</f>
        <v>28000</v>
      </c>
      <c r="K86" s="509">
        <f>'ADU-389'!$B$21</f>
        <v>0</v>
      </c>
      <c r="L86" s="518">
        <f>'ADU-389'!$B$23</f>
        <v>0.10714285714285714</v>
      </c>
      <c r="M86" s="519">
        <f>'ADU-389'!$B$18/1000</f>
        <v>0</v>
      </c>
      <c r="N86" s="507">
        <f>IF(G86=0,0,M86/(G86-I86)*1000)</f>
        <v>0</v>
      </c>
      <c r="O86" s="512" t="str">
        <f>'ADU-389'!$E$5</f>
        <v>A faire</v>
      </c>
      <c r="P86" s="513">
        <f>'ADU-389'!$B$15</f>
        <v>2020</v>
      </c>
      <c r="Q86" s="514">
        <f t="shared" si="0"/>
        <v>0</v>
      </c>
      <c r="R86" s="507">
        <f>IF(O86="Terminé",M86,0)</f>
        <v>0</v>
      </c>
      <c r="S86" s="507">
        <f>IF(D86="Agriculture",R86,0)</f>
        <v>0</v>
      </c>
      <c r="T86" s="507">
        <f>IF(D86="Industrie", R86,0)</f>
        <v>0</v>
      </c>
      <c r="U86" s="507">
        <f>IF(D86="Logement", R86,0)</f>
        <v>0</v>
      </c>
      <c r="V86" s="507">
        <f>IF(D86="Tertiaire",R86,0)</f>
        <v>0</v>
      </c>
      <c r="W86" s="507">
        <f>IF(D86="Transport",R86,0)</f>
        <v>0</v>
      </c>
      <c r="X86" s="507">
        <f>IF(D86="Communal",R86,0)</f>
        <v>0</v>
      </c>
      <c r="Z86" s="674">
        <f t="shared" si="1"/>
        <v>10000</v>
      </c>
      <c r="AA86" s="674">
        <f t="shared" si="2"/>
        <v>0</v>
      </c>
      <c r="AB86" s="674">
        <f t="shared" si="3"/>
        <v>0</v>
      </c>
      <c r="AC86" s="674">
        <f t="shared" si="4"/>
        <v>0</v>
      </c>
      <c r="AD86" s="416">
        <f t="shared" si="341"/>
        <v>0</v>
      </c>
      <c r="AE86" s="674">
        <f t="shared" si="6"/>
        <v>0</v>
      </c>
      <c r="AF86" s="675"/>
      <c r="AG86" s="674">
        <f t="shared" si="7"/>
        <v>7000</v>
      </c>
      <c r="AH86" s="674">
        <f t="shared" si="8"/>
        <v>0</v>
      </c>
      <c r="AI86" s="674">
        <f t="shared" si="9"/>
        <v>0</v>
      </c>
      <c r="AJ86" s="674">
        <f t="shared" si="10"/>
        <v>0</v>
      </c>
      <c r="AK86" s="416">
        <f t="shared" si="342"/>
        <v>0</v>
      </c>
      <c r="AL86" s="674">
        <f t="shared" si="12"/>
        <v>0</v>
      </c>
      <c r="AM86" s="244"/>
      <c r="AN86" s="674">
        <f t="shared" si="13"/>
        <v>0</v>
      </c>
      <c r="AO86" s="674">
        <f t="shared" si="14"/>
        <v>10000</v>
      </c>
      <c r="AP86" s="674">
        <f t="shared" si="15"/>
        <v>0</v>
      </c>
      <c r="AQ86" s="674">
        <f t="shared" si="16"/>
        <v>0</v>
      </c>
      <c r="AR86" s="674">
        <f t="shared" si="17"/>
        <v>0</v>
      </c>
      <c r="AS86" s="674">
        <f t="shared" si="18"/>
        <v>0</v>
      </c>
      <c r="AT86" s="674">
        <f t="shared" si="19"/>
        <v>0</v>
      </c>
      <c r="AU86" s="675"/>
      <c r="AV86" s="674">
        <f t="shared" si="20"/>
        <v>0</v>
      </c>
      <c r="AW86" s="674">
        <f t="shared" si="21"/>
        <v>7000</v>
      </c>
      <c r="AX86" s="674">
        <f t="shared" si="22"/>
        <v>0</v>
      </c>
      <c r="AY86" s="674">
        <f t="shared" si="23"/>
        <v>0</v>
      </c>
      <c r="AZ86" s="674">
        <f t="shared" si="24"/>
        <v>0</v>
      </c>
      <c r="BA86" s="674">
        <f t="shared" si="25"/>
        <v>0</v>
      </c>
      <c r="BB86" s="674">
        <f t="shared" si="26"/>
        <v>0</v>
      </c>
      <c r="BC86" s="244"/>
      <c r="BD86" s="674">
        <f t="shared" si="27"/>
        <v>0</v>
      </c>
      <c r="BE86" s="674">
        <f t="shared" si="28"/>
        <v>28000</v>
      </c>
      <c r="BF86" s="674">
        <f t="shared" si="29"/>
        <v>0</v>
      </c>
      <c r="BG86" s="674">
        <f t="shared" si="30"/>
        <v>0</v>
      </c>
      <c r="BH86" s="674">
        <f t="shared" si="31"/>
        <v>0</v>
      </c>
      <c r="BI86" s="674">
        <f t="shared" si="32"/>
        <v>0</v>
      </c>
      <c r="BJ86" s="674">
        <f t="shared" si="33"/>
        <v>0</v>
      </c>
      <c r="BK86" s="675"/>
      <c r="BL86" s="674">
        <f t="shared" si="34"/>
        <v>0</v>
      </c>
      <c r="BM86" s="674">
        <f t="shared" si="35"/>
        <v>0</v>
      </c>
      <c r="BN86" s="674">
        <f t="shared" si="36"/>
        <v>0</v>
      </c>
      <c r="BO86" s="674">
        <f t="shared" si="37"/>
        <v>0</v>
      </c>
      <c r="BP86" s="674">
        <f t="shared" si="38"/>
        <v>0</v>
      </c>
      <c r="BQ86" s="674">
        <f t="shared" si="39"/>
        <v>0</v>
      </c>
      <c r="BR86" s="674">
        <f t="shared" si="40"/>
        <v>0</v>
      </c>
    </row>
    <row r="87" spans="1:70" s="503" customFormat="1" x14ac:dyDescent="0.25">
      <c r="A87" s="771" t="s">
        <v>478</v>
      </c>
      <c r="B87" s="504" t="str">
        <f>'ADU-39'!$B$7</f>
        <v>Energie éolienne</v>
      </c>
      <c r="C87" s="504" t="str">
        <f>'ADU-39'!$B$8</f>
        <v>Participation d'Idélux dans les parcs éoliens</v>
      </c>
      <c r="D87" s="504" t="str">
        <f>'ADU-39'!$C$4</f>
        <v>Territoire</v>
      </c>
      <c r="E87" s="504" t="str">
        <f>'ADU-39'!$B$11</f>
        <v>IDELUX</v>
      </c>
      <c r="F87" s="494" t="str">
        <f>'ADU-39'!$B$5</f>
        <v>Montage</v>
      </c>
      <c r="G87" s="526">
        <f>'ADU-39'!$B$16</f>
        <v>456814.5820238844</v>
      </c>
      <c r="H87" s="494" t="str">
        <f>'ADU-39'!$B$6</f>
        <v>CV</v>
      </c>
      <c r="I87" s="526">
        <f>'ADU-39'!$B$17</f>
        <v>137044.37460716531</v>
      </c>
      <c r="J87" s="526">
        <f>'ADU-39'!$B$20</f>
        <v>12971.730601777859</v>
      </c>
      <c r="K87" s="526">
        <f>'ADU-39'!$B$21</f>
        <v>21079.062227889019</v>
      </c>
      <c r="L87" s="504">
        <f>'ADU-39'!$B$23</f>
        <v>9.3909768567302816</v>
      </c>
      <c r="M87" s="531">
        <f>'ADU-39'!$B$18/1000</f>
        <v>0</v>
      </c>
      <c r="N87" s="504">
        <f t="shared" si="391"/>
        <v>0</v>
      </c>
      <c r="O87" s="529" t="str">
        <f>'ADU-39'!$E$5</f>
        <v>Terminé</v>
      </c>
      <c r="P87" s="500">
        <f>'ADU-39'!$B$15</f>
        <v>2020</v>
      </c>
      <c r="Q87" s="501">
        <f t="shared" si="0"/>
        <v>0</v>
      </c>
      <c r="R87" s="504">
        <f t="shared" si="238"/>
        <v>0</v>
      </c>
      <c r="S87" s="504">
        <f t="shared" si="239"/>
        <v>0</v>
      </c>
      <c r="T87" s="504">
        <f t="shared" si="240"/>
        <v>0</v>
      </c>
      <c r="U87" s="504">
        <f t="shared" si="241"/>
        <v>0</v>
      </c>
      <c r="V87" s="504">
        <f t="shared" si="242"/>
        <v>0</v>
      </c>
      <c r="W87" s="504">
        <f t="shared" si="243"/>
        <v>0</v>
      </c>
      <c r="X87" s="504">
        <f t="shared" si="244"/>
        <v>0</v>
      </c>
      <c r="Z87" s="674">
        <f t="shared" si="1"/>
        <v>0</v>
      </c>
      <c r="AA87" s="674">
        <f t="shared" si="2"/>
        <v>0</v>
      </c>
      <c r="AB87" s="674">
        <f t="shared" si="3"/>
        <v>0</v>
      </c>
      <c r="AC87" s="674">
        <f t="shared" si="4"/>
        <v>0</v>
      </c>
      <c r="AD87" s="416">
        <f t="shared" si="341"/>
        <v>0</v>
      </c>
      <c r="AE87" s="674">
        <f t="shared" si="6"/>
        <v>0</v>
      </c>
      <c r="AF87" s="675"/>
      <c r="AG87" s="674">
        <f t="shared" si="7"/>
        <v>0</v>
      </c>
      <c r="AH87" s="674">
        <f t="shared" si="8"/>
        <v>0</v>
      </c>
      <c r="AI87" s="674">
        <f t="shared" si="9"/>
        <v>0</v>
      </c>
      <c r="AJ87" s="674">
        <f t="shared" si="10"/>
        <v>0</v>
      </c>
      <c r="AK87" s="416">
        <f t="shared" si="342"/>
        <v>0</v>
      </c>
      <c r="AL87" s="674">
        <f t="shared" si="12"/>
        <v>0</v>
      </c>
      <c r="AM87" s="244"/>
      <c r="AN87" s="674">
        <f t="shared" si="13"/>
        <v>0</v>
      </c>
      <c r="AO87" s="674">
        <f t="shared" si="14"/>
        <v>0</v>
      </c>
      <c r="AP87" s="674">
        <f t="shared" si="15"/>
        <v>0</v>
      </c>
      <c r="AQ87" s="674">
        <f t="shared" si="16"/>
        <v>0</v>
      </c>
      <c r="AR87" s="674">
        <f t="shared" si="17"/>
        <v>0</v>
      </c>
      <c r="AS87" s="674">
        <f t="shared" si="18"/>
        <v>0</v>
      </c>
      <c r="AT87" s="674">
        <f t="shared" si="19"/>
        <v>0</v>
      </c>
      <c r="AU87" s="675"/>
      <c r="AV87" s="674">
        <f t="shared" si="20"/>
        <v>0</v>
      </c>
      <c r="AW87" s="674">
        <f t="shared" si="21"/>
        <v>0</v>
      </c>
      <c r="AX87" s="674">
        <f t="shared" si="22"/>
        <v>0</v>
      </c>
      <c r="AY87" s="674">
        <f t="shared" si="23"/>
        <v>0</v>
      </c>
      <c r="AZ87" s="674">
        <f t="shared" si="24"/>
        <v>0</v>
      </c>
      <c r="BA87" s="674">
        <f t="shared" si="25"/>
        <v>0</v>
      </c>
      <c r="BB87" s="674">
        <f t="shared" si="26"/>
        <v>0</v>
      </c>
      <c r="BC87" s="244"/>
      <c r="BD87" s="674">
        <f t="shared" si="27"/>
        <v>0</v>
      </c>
      <c r="BE87" s="674">
        <f t="shared" si="28"/>
        <v>0</v>
      </c>
      <c r="BF87" s="674">
        <f t="shared" si="29"/>
        <v>0</v>
      </c>
      <c r="BG87" s="674">
        <f t="shared" si="30"/>
        <v>0</v>
      </c>
      <c r="BH87" s="674">
        <f t="shared" si="31"/>
        <v>0</v>
      </c>
      <c r="BI87" s="674">
        <f t="shared" si="32"/>
        <v>0</v>
      </c>
      <c r="BJ87" s="674">
        <f t="shared" si="33"/>
        <v>0</v>
      </c>
      <c r="BK87" s="675"/>
      <c r="BL87" s="674">
        <f t="shared" si="34"/>
        <v>0</v>
      </c>
      <c r="BM87" s="674">
        <f t="shared" si="35"/>
        <v>0</v>
      </c>
      <c r="BN87" s="674">
        <f t="shared" si="36"/>
        <v>0</v>
      </c>
      <c r="BO87" s="674">
        <f t="shared" si="37"/>
        <v>0</v>
      </c>
      <c r="BP87" s="674">
        <f t="shared" si="38"/>
        <v>0</v>
      </c>
      <c r="BQ87" s="674">
        <f t="shared" si="39"/>
        <v>0</v>
      </c>
      <c r="BR87" s="674">
        <f t="shared" si="40"/>
        <v>0</v>
      </c>
    </row>
    <row r="88" spans="1:70" s="490" customFormat="1" x14ac:dyDescent="0.25">
      <c r="A88" s="783" t="s">
        <v>477</v>
      </c>
      <c r="B88" s="491" t="str">
        <f>'ADU-40'!$B$7</f>
        <v>Stockage d'énergie</v>
      </c>
      <c r="C88" s="491" t="str">
        <f>'ADU-40'!$B$8</f>
        <v>Installation innovante de stockage d'énergie</v>
      </c>
      <c r="D88" s="491" t="str">
        <f>'ADU-40'!$C$4</f>
        <v>Industrie</v>
      </c>
      <c r="E88" s="491" t="str">
        <f>'ADU-40'!$B$11</f>
        <v>Industrie</v>
      </c>
      <c r="F88" s="481" t="str">
        <f>'ADU-40'!$B$5</f>
        <v>Montage</v>
      </c>
      <c r="G88" s="542">
        <f>'ADU-40'!$B$16</f>
        <v>3000000</v>
      </c>
      <c r="H88" s="481" t="str">
        <f>'ADU-40'!$B$6</f>
        <v>Subs RW</v>
      </c>
      <c r="I88" s="542">
        <f>'ADU-40'!$B$17</f>
        <v>600000</v>
      </c>
      <c r="J88" s="542">
        <f>'ADU-40'!$B$20</f>
        <v>624412.80000000016</v>
      </c>
      <c r="K88" s="542">
        <f>'ADU-40'!$B$21</f>
        <v>0</v>
      </c>
      <c r="L88" s="543">
        <f>'ADU-40'!$B$23</f>
        <v>3.8429865627354203</v>
      </c>
      <c r="M88" s="549">
        <f>'ADU-40'!$B$18/1000</f>
        <v>0</v>
      </c>
      <c r="N88" s="491">
        <f t="shared" si="391"/>
        <v>0</v>
      </c>
      <c r="O88" s="546" t="str">
        <f>'ADU-40'!$E$5</f>
        <v>A faire</v>
      </c>
      <c r="P88" s="487">
        <f>'ADU-40'!$B$15</f>
        <v>2020</v>
      </c>
      <c r="Q88" s="488">
        <f t="shared" si="0"/>
        <v>0</v>
      </c>
      <c r="R88" s="491">
        <f t="shared" si="238"/>
        <v>0</v>
      </c>
      <c r="S88" s="491">
        <f t="shared" si="239"/>
        <v>0</v>
      </c>
      <c r="T88" s="491">
        <f t="shared" si="240"/>
        <v>0</v>
      </c>
      <c r="U88" s="491">
        <f t="shared" si="241"/>
        <v>0</v>
      </c>
      <c r="V88" s="491">
        <f t="shared" si="242"/>
        <v>0</v>
      </c>
      <c r="W88" s="491">
        <f t="shared" si="243"/>
        <v>0</v>
      </c>
      <c r="X88" s="491">
        <f t="shared" si="244"/>
        <v>0</v>
      </c>
      <c r="Z88" s="674">
        <f t="shared" si="1"/>
        <v>0</v>
      </c>
      <c r="AA88" s="674">
        <f t="shared" si="2"/>
        <v>3000000</v>
      </c>
      <c r="AB88" s="674">
        <f t="shared" si="3"/>
        <v>0</v>
      </c>
      <c r="AC88" s="674">
        <f t="shared" si="4"/>
        <v>0</v>
      </c>
      <c r="AD88" s="416">
        <f t="shared" si="341"/>
        <v>0</v>
      </c>
      <c r="AE88" s="674">
        <f t="shared" si="6"/>
        <v>0</v>
      </c>
      <c r="AF88" s="675"/>
      <c r="AG88" s="674">
        <f t="shared" si="7"/>
        <v>0</v>
      </c>
      <c r="AH88" s="674">
        <f t="shared" si="8"/>
        <v>600000</v>
      </c>
      <c r="AI88" s="674">
        <f t="shared" si="9"/>
        <v>0</v>
      </c>
      <c r="AJ88" s="674">
        <f t="shared" si="10"/>
        <v>0</v>
      </c>
      <c r="AK88" s="416">
        <f t="shared" si="342"/>
        <v>0</v>
      </c>
      <c r="AL88" s="674">
        <f t="shared" si="12"/>
        <v>0</v>
      </c>
      <c r="AM88" s="244"/>
      <c r="AN88" s="674">
        <f t="shared" si="13"/>
        <v>0</v>
      </c>
      <c r="AO88" s="674">
        <f t="shared" si="14"/>
        <v>0</v>
      </c>
      <c r="AP88" s="674">
        <f t="shared" si="15"/>
        <v>3000000</v>
      </c>
      <c r="AQ88" s="674">
        <f t="shared" si="16"/>
        <v>0</v>
      </c>
      <c r="AR88" s="674">
        <f t="shared" si="17"/>
        <v>0</v>
      </c>
      <c r="AS88" s="674">
        <f t="shared" si="18"/>
        <v>0</v>
      </c>
      <c r="AT88" s="674">
        <f t="shared" si="19"/>
        <v>0</v>
      </c>
      <c r="AU88" s="675"/>
      <c r="AV88" s="674">
        <f t="shared" si="20"/>
        <v>0</v>
      </c>
      <c r="AW88" s="674">
        <f t="shared" si="21"/>
        <v>0</v>
      </c>
      <c r="AX88" s="674">
        <f t="shared" si="22"/>
        <v>600000</v>
      </c>
      <c r="AY88" s="674">
        <f t="shared" si="23"/>
        <v>0</v>
      </c>
      <c r="AZ88" s="674">
        <f t="shared" si="24"/>
        <v>0</v>
      </c>
      <c r="BA88" s="674">
        <f t="shared" si="25"/>
        <v>0</v>
      </c>
      <c r="BB88" s="674">
        <f t="shared" si="26"/>
        <v>0</v>
      </c>
      <c r="BC88" s="244"/>
      <c r="BD88" s="674">
        <f t="shared" si="27"/>
        <v>0</v>
      </c>
      <c r="BE88" s="674">
        <f t="shared" si="28"/>
        <v>0</v>
      </c>
      <c r="BF88" s="674">
        <f t="shared" si="29"/>
        <v>624412.80000000016</v>
      </c>
      <c r="BG88" s="674">
        <f t="shared" si="30"/>
        <v>0</v>
      </c>
      <c r="BH88" s="674">
        <f t="shared" si="31"/>
        <v>0</v>
      </c>
      <c r="BI88" s="674">
        <f t="shared" si="32"/>
        <v>0</v>
      </c>
      <c r="BJ88" s="674">
        <f t="shared" si="33"/>
        <v>0</v>
      </c>
      <c r="BK88" s="675"/>
      <c r="BL88" s="674">
        <f t="shared" si="34"/>
        <v>0</v>
      </c>
      <c r="BM88" s="674">
        <f t="shared" si="35"/>
        <v>0</v>
      </c>
      <c r="BN88" s="674">
        <f t="shared" si="36"/>
        <v>0</v>
      </c>
      <c r="BO88" s="674">
        <f t="shared" si="37"/>
        <v>0</v>
      </c>
      <c r="BP88" s="674">
        <f t="shared" si="38"/>
        <v>0</v>
      </c>
      <c r="BQ88" s="674">
        <f t="shared" si="39"/>
        <v>0</v>
      </c>
      <c r="BR88" s="674">
        <f t="shared" si="40"/>
        <v>0</v>
      </c>
    </row>
    <row r="89" spans="1:70" x14ac:dyDescent="0.25">
      <c r="A89" s="750"/>
      <c r="B89" s="245"/>
      <c r="C89" s="245"/>
      <c r="D89" s="245"/>
      <c r="E89" s="245"/>
      <c r="F89" s="245"/>
      <c r="G89" s="246"/>
      <c r="H89" s="246">
        <v>6</v>
      </c>
      <c r="I89" s="246"/>
      <c r="J89" s="246"/>
      <c r="K89" s="246"/>
      <c r="L89" s="245"/>
      <c r="M89" s="271"/>
      <c r="N89" s="245"/>
      <c r="O89" s="272" t="str">
        <f>'ADU-222'!$E$5</f>
        <v>Terminé</v>
      </c>
      <c r="P89" s="270">
        <f>'ADU-222'!$B$15</f>
        <v>2014</v>
      </c>
      <c r="Q89" s="753">
        <f t="shared" si="0"/>
        <v>0</v>
      </c>
      <c r="R89" s="245">
        <f>IF(O89="Terminé",M89,0)</f>
        <v>0</v>
      </c>
      <c r="S89" s="245">
        <f>IF(D89="Agriculture",R89,0)</f>
        <v>0</v>
      </c>
      <c r="T89" s="245">
        <f>IF(D89="Industrie", R89,0)</f>
        <v>0</v>
      </c>
      <c r="U89" s="245">
        <f>IF(D89="Logement", R89,0)</f>
        <v>0</v>
      </c>
      <c r="V89" s="245">
        <f>IF(D89="Tertiaire",R89,0)</f>
        <v>0</v>
      </c>
      <c r="W89" s="245">
        <f>IF(D89="Transport",R89,0)</f>
        <v>0</v>
      </c>
      <c r="X89" s="245">
        <f>IF(D89="Communal",R89,0)</f>
        <v>0</v>
      </c>
      <c r="Z89" s="674">
        <f t="shared" si="1"/>
        <v>0</v>
      </c>
      <c r="AA89" s="674">
        <f t="shared" si="2"/>
        <v>0</v>
      </c>
      <c r="AB89" s="674">
        <f t="shared" si="3"/>
        <v>0</v>
      </c>
      <c r="AC89" s="674">
        <f t="shared" si="4"/>
        <v>0</v>
      </c>
      <c r="AD89" s="416">
        <f t="shared" si="341"/>
        <v>0</v>
      </c>
      <c r="AE89" s="674">
        <f t="shared" si="6"/>
        <v>0</v>
      </c>
      <c r="AF89" s="675"/>
      <c r="AG89" s="674">
        <f t="shared" si="7"/>
        <v>0</v>
      </c>
      <c r="AH89" s="674">
        <f t="shared" si="8"/>
        <v>0</v>
      </c>
      <c r="AI89" s="674">
        <f t="shared" si="9"/>
        <v>0</v>
      </c>
      <c r="AJ89" s="674">
        <f t="shared" si="10"/>
        <v>0</v>
      </c>
      <c r="AK89" s="416">
        <f t="shared" si="342"/>
        <v>0</v>
      </c>
      <c r="AL89" s="674">
        <f t="shared" si="12"/>
        <v>0</v>
      </c>
      <c r="AM89" s="244"/>
      <c r="AN89" s="674">
        <f t="shared" si="13"/>
        <v>0</v>
      </c>
      <c r="AO89" s="674">
        <f t="shared" si="14"/>
        <v>0</v>
      </c>
      <c r="AP89" s="674">
        <f t="shared" si="15"/>
        <v>0</v>
      </c>
      <c r="AQ89" s="674">
        <f t="shared" si="16"/>
        <v>0</v>
      </c>
      <c r="AR89" s="674">
        <f t="shared" si="17"/>
        <v>0</v>
      </c>
      <c r="AS89" s="674">
        <f t="shared" si="18"/>
        <v>0</v>
      </c>
      <c r="AT89" s="674">
        <f t="shared" si="19"/>
        <v>0</v>
      </c>
      <c r="AU89" s="675"/>
      <c r="AV89" s="674">
        <f t="shared" si="20"/>
        <v>0</v>
      </c>
      <c r="AW89" s="674">
        <f t="shared" si="21"/>
        <v>0</v>
      </c>
      <c r="AX89" s="674">
        <f t="shared" si="22"/>
        <v>0</v>
      </c>
      <c r="AY89" s="674">
        <f t="shared" si="23"/>
        <v>0</v>
      </c>
      <c r="AZ89" s="674">
        <f t="shared" si="24"/>
        <v>0</v>
      </c>
      <c r="BA89" s="674">
        <f t="shared" si="25"/>
        <v>0</v>
      </c>
      <c r="BB89" s="674">
        <f t="shared" si="26"/>
        <v>0</v>
      </c>
      <c r="BC89" s="244"/>
      <c r="BD89" s="674">
        <f t="shared" si="27"/>
        <v>0</v>
      </c>
      <c r="BE89" s="674">
        <f t="shared" si="28"/>
        <v>0</v>
      </c>
      <c r="BF89" s="674">
        <f t="shared" si="29"/>
        <v>0</v>
      </c>
      <c r="BG89" s="674">
        <f t="shared" si="30"/>
        <v>0</v>
      </c>
      <c r="BH89" s="674">
        <f t="shared" si="31"/>
        <v>0</v>
      </c>
      <c r="BI89" s="674">
        <f t="shared" si="32"/>
        <v>0</v>
      </c>
      <c r="BJ89" s="674">
        <f t="shared" si="33"/>
        <v>0</v>
      </c>
      <c r="BK89" s="675"/>
      <c r="BL89" s="674">
        <f t="shared" si="34"/>
        <v>0</v>
      </c>
      <c r="BM89" s="674">
        <f t="shared" si="35"/>
        <v>0</v>
      </c>
      <c r="BN89" s="674">
        <f t="shared" si="36"/>
        <v>0</v>
      </c>
      <c r="BO89" s="674">
        <f t="shared" si="37"/>
        <v>0</v>
      </c>
      <c r="BP89" s="674">
        <f t="shared" si="38"/>
        <v>0</v>
      </c>
      <c r="BQ89" s="674">
        <f t="shared" si="39"/>
        <v>0</v>
      </c>
      <c r="BR89" s="674">
        <f t="shared" si="40"/>
        <v>0</v>
      </c>
    </row>
    <row r="90" spans="1:70" x14ac:dyDescent="0.25">
      <c r="G90" s="109">
        <f>SUM(G2:G88)-G57-G58-G64</f>
        <v>45861167.586129993</v>
      </c>
      <c r="Q90" s="247">
        <f t="shared" si="0"/>
        <v>0</v>
      </c>
      <c r="R90" s="245">
        <f>IF(O90="Terminé",M90,0)</f>
        <v>0</v>
      </c>
      <c r="S90" s="245">
        <f>IF(D90="Agriculture",R90,0)</f>
        <v>0</v>
      </c>
      <c r="T90" s="245">
        <f>IF(D90="Industrie", R90,0)</f>
        <v>0</v>
      </c>
      <c r="U90" s="245">
        <f>IF(D90="Logement", R90,0)</f>
        <v>0</v>
      </c>
      <c r="V90" s="245">
        <f>IF(D90="Tertiaire",R90,0)</f>
        <v>0</v>
      </c>
      <c r="W90" s="245">
        <f>IF(D90="Transport",R90,0)</f>
        <v>0</v>
      </c>
      <c r="X90" s="245">
        <f>IF(D90="Communal",R90,0)</f>
        <v>0</v>
      </c>
      <c r="Z90" s="674">
        <f t="shared" si="1"/>
        <v>0</v>
      </c>
      <c r="AA90" s="674">
        <f t="shared" si="2"/>
        <v>0</v>
      </c>
      <c r="AB90" s="674">
        <f t="shared" si="3"/>
        <v>0</v>
      </c>
      <c r="AC90" s="674">
        <f t="shared" si="4"/>
        <v>0</v>
      </c>
      <c r="AD90" s="416">
        <f t="shared" si="341"/>
        <v>0</v>
      </c>
      <c r="AE90" s="674">
        <f t="shared" si="6"/>
        <v>0</v>
      </c>
      <c r="AF90" s="675"/>
      <c r="AG90" s="674">
        <f t="shared" si="7"/>
        <v>0</v>
      </c>
      <c r="AH90" s="674">
        <f t="shared" si="8"/>
        <v>0</v>
      </c>
      <c r="AI90" s="674">
        <f t="shared" si="9"/>
        <v>0</v>
      </c>
      <c r="AJ90" s="674">
        <f t="shared" si="10"/>
        <v>0</v>
      </c>
      <c r="AK90" s="416">
        <f t="shared" si="342"/>
        <v>0</v>
      </c>
      <c r="AL90" s="674">
        <f t="shared" si="12"/>
        <v>0</v>
      </c>
      <c r="AM90" s="244"/>
      <c r="AN90" s="674">
        <f t="shared" si="13"/>
        <v>0</v>
      </c>
      <c r="AO90" s="674">
        <f t="shared" si="14"/>
        <v>0</v>
      </c>
      <c r="AP90" s="674">
        <f t="shared" si="15"/>
        <v>0</v>
      </c>
      <c r="AQ90" s="674">
        <f t="shared" si="16"/>
        <v>0</v>
      </c>
      <c r="AR90" s="674">
        <f t="shared" si="17"/>
        <v>0</v>
      </c>
      <c r="AS90" s="674">
        <f t="shared" si="18"/>
        <v>0</v>
      </c>
      <c r="AT90" s="674">
        <f t="shared" si="19"/>
        <v>0</v>
      </c>
      <c r="AU90" s="675"/>
      <c r="AV90" s="674">
        <f t="shared" si="20"/>
        <v>0</v>
      </c>
      <c r="AW90" s="674">
        <f t="shared" si="21"/>
        <v>0</v>
      </c>
      <c r="AX90" s="674">
        <f t="shared" si="22"/>
        <v>0</v>
      </c>
      <c r="AY90" s="674">
        <f t="shared" si="23"/>
        <v>0</v>
      </c>
      <c r="AZ90" s="674">
        <f t="shared" si="24"/>
        <v>0</v>
      </c>
      <c r="BA90" s="674">
        <f t="shared" si="25"/>
        <v>0</v>
      </c>
      <c r="BB90" s="674">
        <f t="shared" si="26"/>
        <v>0</v>
      </c>
      <c r="BC90" s="244"/>
      <c r="BD90" s="674">
        <f t="shared" si="27"/>
        <v>0</v>
      </c>
      <c r="BE90" s="674">
        <f t="shared" si="28"/>
        <v>0</v>
      </c>
      <c r="BF90" s="674">
        <f t="shared" si="29"/>
        <v>0</v>
      </c>
      <c r="BG90" s="674">
        <f t="shared" si="30"/>
        <v>0</v>
      </c>
      <c r="BH90" s="674">
        <f t="shared" si="31"/>
        <v>0</v>
      </c>
      <c r="BI90" s="674">
        <f t="shared" si="32"/>
        <v>0</v>
      </c>
      <c r="BJ90" s="674">
        <f t="shared" si="33"/>
        <v>0</v>
      </c>
      <c r="BK90" s="675"/>
      <c r="BL90" s="674">
        <f t="shared" si="34"/>
        <v>0</v>
      </c>
      <c r="BM90" s="674">
        <f t="shared" si="35"/>
        <v>0</v>
      </c>
      <c r="BN90" s="674">
        <f t="shared" si="36"/>
        <v>0</v>
      </c>
      <c r="BO90" s="674">
        <f t="shared" si="37"/>
        <v>0</v>
      </c>
      <c r="BP90" s="674">
        <f t="shared" si="38"/>
        <v>0</v>
      </c>
      <c r="BQ90" s="674">
        <f t="shared" si="39"/>
        <v>0</v>
      </c>
      <c r="BR90" s="674">
        <f t="shared" si="40"/>
        <v>0</v>
      </c>
    </row>
    <row r="92" spans="1:70" ht="15.75" x14ac:dyDescent="0.25">
      <c r="C92" s="80" t="s">
        <v>816</v>
      </c>
      <c r="D92" s="423"/>
      <c r="G92" s="109">
        <f>SUM(G2:G6)+SUM(G9:G16)+G29+G33+G36+G45</f>
        <v>2026737</v>
      </c>
      <c r="H92" s="109" t="s">
        <v>855</v>
      </c>
      <c r="M92" s="590">
        <f>SUM(M2:M6)+SUM(M9:M16)+M29+M33+M36+M45</f>
        <v>1011.8800000000001</v>
      </c>
      <c r="Q92" s="659">
        <f>SUM(Q2:Q90)</f>
        <v>9902.2677625872548</v>
      </c>
      <c r="R92" s="659">
        <f t="shared" ref="R92:BR92" si="441">SUM(R2:R90)</f>
        <v>9902.2677625872548</v>
      </c>
      <c r="S92" s="659">
        <f t="shared" si="441"/>
        <v>0</v>
      </c>
      <c r="T92" s="659">
        <f t="shared" si="441"/>
        <v>0</v>
      </c>
      <c r="U92" s="659">
        <f t="shared" si="441"/>
        <v>5381.8379857308128</v>
      </c>
      <c r="V92" s="659">
        <f t="shared" si="441"/>
        <v>26.1</v>
      </c>
      <c r="W92" s="659">
        <f t="shared" si="441"/>
        <v>29.957576856440966</v>
      </c>
      <c r="X92" s="659">
        <f t="shared" si="441"/>
        <v>4464.3721999999998</v>
      </c>
      <c r="Y92" s="659">
        <f t="shared" si="441"/>
        <v>0</v>
      </c>
      <c r="Z92" s="659">
        <f t="shared" si="441"/>
        <v>711485</v>
      </c>
      <c r="AA92" s="659">
        <f t="shared" si="441"/>
        <v>6064850</v>
      </c>
      <c r="AB92" s="659">
        <f t="shared" si="441"/>
        <v>3490000</v>
      </c>
      <c r="AC92" s="659">
        <f t="shared" si="441"/>
        <v>0</v>
      </c>
      <c r="AD92" s="659">
        <f t="shared" si="441"/>
        <v>909810</v>
      </c>
      <c r="AE92" s="659">
        <f t="shared" si="441"/>
        <v>829455</v>
      </c>
      <c r="AF92" s="659">
        <f t="shared" si="441"/>
        <v>0</v>
      </c>
      <c r="AG92" s="659">
        <f t="shared" si="441"/>
        <v>135500</v>
      </c>
      <c r="AH92" s="659">
        <f t="shared" si="441"/>
        <v>690000</v>
      </c>
      <c r="AI92" s="659">
        <f t="shared" si="441"/>
        <v>350000</v>
      </c>
      <c r="AJ92" s="659">
        <f t="shared" si="441"/>
        <v>0</v>
      </c>
      <c r="AK92" s="659">
        <f t="shared" si="441"/>
        <v>243643.33333333337</v>
      </c>
      <c r="AL92" s="659">
        <f t="shared" si="441"/>
        <v>0</v>
      </c>
      <c r="AM92" s="659">
        <f t="shared" si="441"/>
        <v>0</v>
      </c>
      <c r="AN92" s="659">
        <f t="shared" si="441"/>
        <v>4000</v>
      </c>
      <c r="AO92" s="659">
        <f t="shared" si="441"/>
        <v>711485</v>
      </c>
      <c r="AP92" s="659">
        <f t="shared" si="441"/>
        <v>6064850</v>
      </c>
      <c r="AQ92" s="659">
        <f t="shared" si="441"/>
        <v>1270000</v>
      </c>
      <c r="AR92" s="659">
        <f t="shared" si="441"/>
        <v>829455</v>
      </c>
      <c r="AS92" s="659">
        <f t="shared" si="441"/>
        <v>2645000</v>
      </c>
      <c r="AT92" s="659">
        <f t="shared" si="441"/>
        <v>480810</v>
      </c>
      <c r="AU92" s="659">
        <f t="shared" si="441"/>
        <v>0</v>
      </c>
      <c r="AV92" s="659">
        <f t="shared" si="441"/>
        <v>0</v>
      </c>
      <c r="AW92" s="659">
        <f t="shared" si="441"/>
        <v>135500</v>
      </c>
      <c r="AX92" s="659">
        <f t="shared" si="441"/>
        <v>690000</v>
      </c>
      <c r="AY92" s="659">
        <f t="shared" si="441"/>
        <v>350000</v>
      </c>
      <c r="AZ92" s="659">
        <f t="shared" si="441"/>
        <v>0</v>
      </c>
      <c r="BA92" s="659">
        <f t="shared" si="441"/>
        <v>0</v>
      </c>
      <c r="BB92" s="659">
        <f t="shared" si="441"/>
        <v>243643.33333333337</v>
      </c>
      <c r="BC92" s="659">
        <f t="shared" si="441"/>
        <v>0</v>
      </c>
      <c r="BD92" s="659">
        <f t="shared" si="441"/>
        <v>3</v>
      </c>
      <c r="BE92" s="659">
        <f t="shared" si="441"/>
        <v>87715.883700000006</v>
      </c>
      <c r="BF92" s="659">
        <f t="shared" si="441"/>
        <v>796518.11250000016</v>
      </c>
      <c r="BG92" s="659">
        <f t="shared" si="441"/>
        <v>50325.33526570048</v>
      </c>
      <c r="BH92" s="659">
        <f t="shared" si="441"/>
        <v>2</v>
      </c>
      <c r="BI92" s="659">
        <f t="shared" si="441"/>
        <v>126858.4</v>
      </c>
      <c r="BJ92" s="659">
        <f t="shared" si="441"/>
        <v>16920.8</v>
      </c>
      <c r="BK92" s="659">
        <f t="shared" si="441"/>
        <v>0</v>
      </c>
      <c r="BL92" s="659">
        <f t="shared" si="441"/>
        <v>0</v>
      </c>
      <c r="BM92" s="659">
        <f t="shared" si="441"/>
        <v>31055.699999999997</v>
      </c>
      <c r="BN92" s="659">
        <f t="shared" si="441"/>
        <v>132600</v>
      </c>
      <c r="BO92" s="659">
        <f t="shared" si="441"/>
        <v>0</v>
      </c>
      <c r="BP92" s="659">
        <f t="shared" si="441"/>
        <v>39780</v>
      </c>
      <c r="BQ92" s="659">
        <f t="shared" si="441"/>
        <v>0</v>
      </c>
      <c r="BR92" s="659">
        <f t="shared" si="441"/>
        <v>8968.0499999999993</v>
      </c>
    </row>
    <row r="93" spans="1:70" x14ac:dyDescent="0.25">
      <c r="C93" s="80" t="s">
        <v>817</v>
      </c>
      <c r="D93" s="425"/>
      <c r="G93" s="109">
        <f>G88+G60</f>
        <v>3300000</v>
      </c>
      <c r="H93" s="109" t="s">
        <v>855</v>
      </c>
      <c r="M93" s="590">
        <f>M88+M60</f>
        <v>424.8125</v>
      </c>
      <c r="R93" s="658"/>
      <c r="S93" s="658"/>
      <c r="T93" s="658"/>
      <c r="U93" s="658"/>
      <c r="V93" s="658"/>
      <c r="W93" s="658"/>
      <c r="X93" s="658"/>
      <c r="Y93" s="658"/>
    </row>
    <row r="94" spans="1:70" x14ac:dyDescent="0.25">
      <c r="C94" s="80" t="s">
        <v>818</v>
      </c>
      <c r="D94" s="426"/>
      <c r="G94" s="601">
        <f>SUM(G77:G80)+G62+G56+SUM(G46:G49)+SUM(G40:G44)+G34+G19+G7+G8</f>
        <v>9767179.1233333331</v>
      </c>
      <c r="H94" s="109" t="s">
        <v>855</v>
      </c>
      <c r="M94" s="590">
        <f>SUM(M77:M80)+M62+M56+SUM(M46:M49)+SUM(M40:M44)+M34+M19+M7+M8</f>
        <v>10305.982562967214</v>
      </c>
    </row>
    <row r="95" spans="1:70" x14ac:dyDescent="0.25">
      <c r="C95" s="80" t="s">
        <v>819</v>
      </c>
      <c r="D95" s="428"/>
      <c r="G95" s="109">
        <f>SUM(G82:G86)+G63+G59+G24</f>
        <v>513000</v>
      </c>
      <c r="H95" s="109" t="s">
        <v>855</v>
      </c>
      <c r="M95" s="590">
        <f>SUM(M82:M86)+M63+M59+M24</f>
        <v>400.66199999999998</v>
      </c>
    </row>
    <row r="96" spans="1:70" x14ac:dyDescent="0.25">
      <c r="C96" s="80" t="s">
        <v>820</v>
      </c>
      <c r="D96" s="429"/>
      <c r="G96" s="109">
        <v>0</v>
      </c>
      <c r="H96" s="109" t="s">
        <v>855</v>
      </c>
      <c r="M96" s="590">
        <v>0</v>
      </c>
      <c r="Q96" s="657" t="e">
        <f>Q92-#REF!</f>
        <v>#REF!</v>
      </c>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row>
    <row r="97" spans="3:13" x14ac:dyDescent="0.25">
      <c r="C97" s="80" t="s">
        <v>821</v>
      </c>
      <c r="D97" s="430"/>
      <c r="G97" s="109">
        <f>G87+SUM(G50:G55)+SUM(G25:G28)+SUM(G20:G23)</f>
        <v>13359450.382023886</v>
      </c>
      <c r="H97" s="109" t="s">
        <v>855</v>
      </c>
      <c r="M97" s="590">
        <f>M87+SUM(M50:M55)+SUM(M25:M28)+SUM(M20:M23)</f>
        <v>0</v>
      </c>
    </row>
    <row r="98" spans="3:13" x14ac:dyDescent="0.25">
      <c r="C98" s="80" t="s">
        <v>822</v>
      </c>
      <c r="D98" s="424"/>
      <c r="G98" s="109">
        <f>G37+G38+G81</f>
        <v>2466000</v>
      </c>
      <c r="H98" s="109" t="s">
        <v>855</v>
      </c>
      <c r="M98" s="590">
        <f>M37+M38+M81</f>
        <v>4266</v>
      </c>
    </row>
    <row r="99" spans="3:13" x14ac:dyDescent="0.25">
      <c r="C99" s="80" t="s">
        <v>823</v>
      </c>
      <c r="D99" s="427"/>
      <c r="G99" s="109">
        <f>G61</f>
        <v>20000</v>
      </c>
      <c r="H99" s="109" t="s">
        <v>855</v>
      </c>
      <c r="M99" s="590">
        <f>M61</f>
        <v>3946.388686781369</v>
      </c>
    </row>
    <row r="100" spans="3:13" x14ac:dyDescent="0.25">
      <c r="C100" s="80" t="s">
        <v>824</v>
      </c>
      <c r="D100" s="431"/>
      <c r="G100" s="109">
        <f>SUM(G65:G75)</f>
        <v>4913630.1687092446</v>
      </c>
      <c r="H100" s="109" t="s">
        <v>855</v>
      </c>
      <c r="M100" s="590">
        <f>SUM(M65:M75)</f>
        <v>2964.449186244196</v>
      </c>
    </row>
    <row r="102" spans="3:13" x14ac:dyDescent="0.25">
      <c r="G102" s="109">
        <f>SUM(G92:G100)</f>
        <v>36365996.674066469</v>
      </c>
      <c r="M102" s="590">
        <f>SUM(M92:M100)</f>
        <v>23320.174935992782</v>
      </c>
    </row>
  </sheetData>
  <conditionalFormatting sqref="P41:P42 O36:P40 O4:P32 P33:P35 O43:P89">
    <cfRule type="containsText" dxfId="284" priority="10" operator="containsText" text="Terminé">
      <formula>NOT(ISERROR(SEARCH("Terminé",O4)))</formula>
    </cfRule>
    <cfRule type="containsText" dxfId="283" priority="11" operator="containsText" text="En cours">
      <formula>NOT(ISERROR(SEARCH("En cours",O4)))</formula>
    </cfRule>
    <cfRule type="containsText" dxfId="282" priority="12" operator="containsText" text="A faire">
      <formula>NOT(ISERROR(SEARCH("A faire",O4)))</formula>
    </cfRule>
  </conditionalFormatting>
  <conditionalFormatting sqref="O33:O35">
    <cfRule type="containsText" dxfId="281" priority="7" operator="containsText" text="Terminé">
      <formula>NOT(ISERROR(SEARCH("Terminé",O33)))</formula>
    </cfRule>
    <cfRule type="containsText" dxfId="280" priority="8" operator="containsText" text="En cours">
      <formula>NOT(ISERROR(SEARCH("En cours",O33)))</formula>
    </cfRule>
    <cfRule type="containsText" dxfId="279" priority="9" operator="containsText" text="A faire">
      <formula>NOT(ISERROR(SEARCH("A faire",O33)))</formula>
    </cfRule>
  </conditionalFormatting>
  <conditionalFormatting sqref="O41:O42">
    <cfRule type="containsText" dxfId="278" priority="4" operator="containsText" text="Terminé">
      <formula>NOT(ISERROR(SEARCH("Terminé",O41)))</formula>
    </cfRule>
    <cfRule type="containsText" dxfId="277" priority="5" operator="containsText" text="En cours">
      <formula>NOT(ISERROR(SEARCH("En cours",O41)))</formula>
    </cfRule>
    <cfRule type="containsText" dxfId="276" priority="6" operator="containsText" text="A faire">
      <formula>NOT(ISERROR(SEARCH("A faire",O41)))</formula>
    </cfRule>
  </conditionalFormatting>
  <conditionalFormatting sqref="O2:P3">
    <cfRule type="containsText" dxfId="275" priority="1" operator="containsText" text="Terminé">
      <formula>NOT(ISERROR(SEARCH("Terminé",O2)))</formula>
    </cfRule>
    <cfRule type="containsText" dxfId="274" priority="2" operator="containsText" text="En cours">
      <formula>NOT(ISERROR(SEARCH("En cours",O2)))</formula>
    </cfRule>
    <cfRule type="containsText" dxfId="273" priority="3" operator="containsText" text="A faire">
      <formula>NOT(ISERROR(SEARCH("A faire",O2)))</formula>
    </cfRule>
  </conditionalFormatting>
  <hyperlinks>
    <hyperlink ref="A2" location="'ADO-1'!A1" display="'ADO-1'!A1"/>
    <hyperlink ref="A3" location="'ADO-2'!A1" display="'ADO-2'!A1"/>
    <hyperlink ref="A4" location="'ADO-3'!A1" display="'ADO-3'!A1"/>
    <hyperlink ref="A5" location="'ADO-4'!A1" display="'ADO-4'!A1"/>
    <hyperlink ref="A6" location="'ADO-5'!A1" display="'ADO-5'!A1"/>
    <hyperlink ref="A7" location="'ADO-6'!A1" display="'ADO-6'!A1"/>
    <hyperlink ref="A8" location="'ADO-7'!A1" display="'ADO-7'!A1"/>
    <hyperlink ref="A9" location="'ADO-8'!A1" display="'ADO-8'!A1"/>
    <hyperlink ref="A10" location="'ADO-9'!A1" display="'ADO-9'!A1"/>
    <hyperlink ref="A11" location="'ADO-10'!A1" display="'ADO-10'!A1"/>
    <hyperlink ref="A12" location="'ADO-11'!A1" display="'ADO-11'!A1"/>
    <hyperlink ref="A19" location="'ADU-1'!A1" display="'ADU-1'!A1"/>
    <hyperlink ref="A20" location="'ADU-2'!A1" display="'ADU-2'!A1"/>
    <hyperlink ref="A24" location="'ADO-3'!A1" display="'ADO-3'!A1"/>
    <hyperlink ref="A29" location="'ADU-5'!A1" display="'ADU-5'!A1"/>
    <hyperlink ref="A33" location="'ADU-6'!A1" display="'ADU-6'!A1"/>
    <hyperlink ref="A34" location="'ADU-61'!A1" display="'ADU-61'!A1"/>
    <hyperlink ref="A36" location="'ADU-7'!A1" display="'ADU-7'!A1"/>
    <hyperlink ref="A37" location="'ADU-8'!A1" display="'ADU-8'!A1"/>
    <hyperlink ref="A38" location="'ADU-9'!A1" display="'ADU-9'!A1"/>
    <hyperlink ref="A39" location="'ADU-10'!A1" display="'ADU-10'!A1"/>
    <hyperlink ref="A40" location="'ADU-110'!A1" display="'ADU-110'!A1"/>
    <hyperlink ref="A41" location="'ADU-111'!A1" display="'ADU-111'!A1"/>
    <hyperlink ref="A42" location="'ADU-112'!A1" display="'ADU-112'!A1"/>
    <hyperlink ref="A43" location="'ADU-113'!A1" display="'ADU-113'!A1"/>
    <hyperlink ref="A45" location="'ADU-12'!A1" display="'ADU-12'!A1"/>
    <hyperlink ref="A46" location="'ADU-13'!A1" display="'ADU-13'!A1"/>
    <hyperlink ref="A48" location="'ADU-14'!A1" display="'ADU-14'!A1"/>
    <hyperlink ref="A49" location="'ADU-15'!A1" display="'ADU-15'!A1"/>
    <hyperlink ref="A50" location="'ADU-16'!A1" display="'ADU-16'!A1"/>
    <hyperlink ref="A51" location="'ADU-17'!A1" display="'ADU-17'!A1"/>
    <hyperlink ref="A52" location="'ADU-18'!A1" display="'ADU-18'!A1"/>
    <hyperlink ref="A53" location="'ADU-19'!A1" display="'ADU-19'!A1"/>
    <hyperlink ref="A54" location="'ADU-20'!A1" display="'ADU-20'!A1"/>
    <hyperlink ref="A55" location="'ADU-21'!A1" display="'ADU-21'!A1"/>
    <hyperlink ref="A56" location="'ADU-22'!A1" display="'ADU-22'!A1"/>
    <hyperlink ref="A57" location="'ADU-23'!A1" display="'ADU-23'!A1"/>
    <hyperlink ref="A58" location="'ADU-24'!A1" display="'ADU-24'!A1"/>
    <hyperlink ref="A59" location="'ADU-25'!A1" display="'ADU-25'!A1"/>
    <hyperlink ref="A60" location="'ADU-26'!A1" display="'ADU-26'!A1"/>
    <hyperlink ref="A62" location="'ADU-27'!A1" display="'ADU-27'!A1"/>
    <hyperlink ref="A63" location="'ADU-28'!A1" display="'ADU-28'!A1"/>
    <hyperlink ref="A64" location="'ADU-29'!A1" display="'ADU-29'!A1"/>
    <hyperlink ref="A65" location="'ADU-30'!A1" display="'ADU-30'!A1"/>
    <hyperlink ref="A66" location="'ADU-31'!A1" display="'ADU-31'!A1"/>
    <hyperlink ref="A68" location="'ADU-32'!A1" display="'ADU-32'!A1"/>
    <hyperlink ref="A69" location="'ADU-33'!A1" display="'ADU-33'!A1"/>
    <hyperlink ref="A73" location="'ADU-34'!A1" display="'ADU-34'!A1"/>
    <hyperlink ref="A75" location="'ADU-35'!A1" display="'ADU-35'!A1"/>
    <hyperlink ref="A82" location="'ADU-37'!A1" display="'ADU-37'!A1"/>
    <hyperlink ref="A84" location="'ADU-38'!A1" display="'ADU-38'!A1"/>
    <hyperlink ref="A87" location="'ADU-39'!A1" display="'ADU-39'!A1"/>
    <hyperlink ref="A88" location="'ADU-40'!A1" display="'ADU-40'!A1"/>
    <hyperlink ref="A13" location="'ADO-12'!A1" display="ADO-12"/>
    <hyperlink ref="A14" location="'ADO-13'!A1" display="ADO-13"/>
    <hyperlink ref="A15" location="'ADO-14'!A1" display="ADO-14"/>
    <hyperlink ref="A16" location="'ADO-15'!A1" display="ADO-15"/>
    <hyperlink ref="A21" location="'ADU-221'!A1" display="ADU-221"/>
    <hyperlink ref="A22" location="'ADU-222'!A1" display="ADU-222"/>
    <hyperlink ref="A25" location="'ADU-41'!A1" display="ADU-41"/>
    <hyperlink ref="A26" location="'ADU-42'!A1" display="ADU-42"/>
    <hyperlink ref="A27" location="'ADU-43'!A1" display="ADU-43"/>
    <hyperlink ref="A44" location="'ADU-114'!A1" display="ADU-114"/>
    <hyperlink ref="A67" location="'ADU-311'!A1" display="ADU-311"/>
    <hyperlink ref="A74" location="'ADU-341'!A1" display="ADU-341"/>
    <hyperlink ref="A77" location="'ADU-361'!A1" display="ADU-361"/>
    <hyperlink ref="A78" location="'ADU-362'!A1" display="ADU-362"/>
    <hyperlink ref="A79" location="'ADU-363'!A1" display="ADU-363"/>
    <hyperlink ref="A80" location="'ADU-364'!A1" display="ADU-364"/>
    <hyperlink ref="A81" location="'ADU-365'!A1" display="ADU-365"/>
    <hyperlink ref="A85" location="'ADU-381'!A1" display="ADU-381"/>
    <hyperlink ref="A28" location="'ADU-44'!A1" display="ADU-44"/>
    <hyperlink ref="A23" location="'ADU-222'!A1" display="ADU-222"/>
    <hyperlink ref="A47" location="'ADU-131'!A1" display="ADU-131"/>
    <hyperlink ref="A61" location="'ADU-261'!A1" display="ADU-261"/>
    <hyperlink ref="A86" location="'ADU-389'!A1" display="ADU-389"/>
    <hyperlink ref="A17" location="'ADO-16'!A1" display="ADO-16"/>
    <hyperlink ref="A18" location="'ADO-17'!A1" display="ADO-17"/>
    <hyperlink ref="A35" location="'ADU-62'!A1" display="ADU-62"/>
    <hyperlink ref="A70" location="'ADU-331'!A1" display="ADU-331"/>
    <hyperlink ref="A71" location="'ADU-332'!A1" display="ADU-332"/>
    <hyperlink ref="A76" location="'ADU-351'!A1" display="ADU-351"/>
    <hyperlink ref="A83" location="'ADU-371'!A1" display="ADU-371"/>
    <hyperlink ref="A30" location="'ADU-51'!A1" display="ADU-51"/>
    <hyperlink ref="A31" location="'ADU-52'!A1" display="ADU-52"/>
    <hyperlink ref="A32" location="'ADU-53'!A1" display="ADU-53"/>
    <hyperlink ref="A72" location="'ADU-333'!A1" display="ADU-333"/>
  </hyperlinks>
  <pageMargins left="0.25" right="0.25" top="0.75" bottom="0.75" header="0.3" footer="0.3"/>
  <pageSetup paperSize="9" scale="35" orientation="landscape" horizontalDpi="300"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44"/>
  <sheetViews>
    <sheetView topLeftCell="B4" zoomScaleNormal="100" zoomScaleSheetLayoutView="220"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5" ht="21" x14ac:dyDescent="0.35">
      <c r="A1" s="11" t="s">
        <v>87</v>
      </c>
      <c r="B1" s="11"/>
      <c r="C1" s="11"/>
      <c r="D1" s="11"/>
      <c r="E1" s="11"/>
    </row>
    <row r="2" spans="1:15" ht="26.25" x14ac:dyDescent="0.4">
      <c r="A2" s="856" t="s">
        <v>913</v>
      </c>
      <c r="B2" s="856"/>
      <c r="C2" s="856"/>
      <c r="D2" s="856"/>
      <c r="E2" s="856"/>
    </row>
    <row r="3" spans="1:15" ht="27" thickBot="1" x14ac:dyDescent="0.45">
      <c r="A3" s="107"/>
      <c r="B3" s="107"/>
      <c r="C3" s="107"/>
      <c r="D3" s="107"/>
      <c r="E3" s="107"/>
    </row>
    <row r="4" spans="1:15" ht="15.75" thickBot="1" x14ac:dyDescent="0.3">
      <c r="A4" s="12"/>
      <c r="B4" s="233" t="s">
        <v>469</v>
      </c>
      <c r="C4" s="851" t="s">
        <v>35</v>
      </c>
      <c r="D4" s="852"/>
      <c r="E4" s="175" t="s">
        <v>101</v>
      </c>
      <c r="G4" s="848" t="s">
        <v>914</v>
      </c>
      <c r="H4" s="848"/>
      <c r="I4" s="848"/>
    </row>
    <row r="5" spans="1:15" ht="18.75" customHeight="1" x14ac:dyDescent="0.25">
      <c r="A5" s="381" t="s">
        <v>651</v>
      </c>
      <c r="B5" s="382" t="s">
        <v>50</v>
      </c>
      <c r="C5" s="820" t="s">
        <v>18</v>
      </c>
      <c r="D5" s="820"/>
      <c r="E5" s="232" t="s">
        <v>20</v>
      </c>
      <c r="G5" s="848" t="s">
        <v>915</v>
      </c>
      <c r="H5" s="848"/>
      <c r="I5" s="848"/>
    </row>
    <row r="6" spans="1:15" ht="16.5" thickBot="1" x14ac:dyDescent="0.3">
      <c r="A6" s="379" t="s">
        <v>660</v>
      </c>
      <c r="B6" s="380" t="s">
        <v>658</v>
      </c>
      <c r="C6" s="16"/>
      <c r="D6" s="16"/>
      <c r="E6" s="16"/>
      <c r="G6" s="850" t="s">
        <v>916</v>
      </c>
      <c r="H6" s="850"/>
      <c r="I6" s="850"/>
    </row>
    <row r="7" spans="1:15" ht="24" customHeight="1" thickBot="1" x14ac:dyDescent="0.3">
      <c r="A7" s="207" t="s">
        <v>1</v>
      </c>
      <c r="B7" s="820" t="s">
        <v>35</v>
      </c>
      <c r="C7" s="820"/>
      <c r="D7" s="820"/>
      <c r="E7" s="820"/>
    </row>
    <row r="8" spans="1:15" ht="24" customHeight="1" thickBot="1" x14ac:dyDescent="0.3">
      <c r="A8" s="207" t="s">
        <v>0</v>
      </c>
      <c r="B8" s="820" t="s">
        <v>99</v>
      </c>
      <c r="C8" s="820"/>
      <c r="D8" s="820"/>
      <c r="E8" s="820"/>
    </row>
    <row r="9" spans="1:15" ht="54" customHeight="1" x14ac:dyDescent="0.25">
      <c r="A9" s="208" t="s">
        <v>2</v>
      </c>
      <c r="B9" s="890" t="s">
        <v>670</v>
      </c>
      <c r="C9" s="889"/>
      <c r="D9" s="889"/>
      <c r="E9" s="889"/>
      <c r="G9" s="116" t="s">
        <v>219</v>
      </c>
      <c r="H9" s="116" t="s">
        <v>220</v>
      </c>
      <c r="I9" s="116" t="s">
        <v>201</v>
      </c>
      <c r="J9" s="117" t="s">
        <v>221</v>
      </c>
      <c r="K9" s="117" t="s">
        <v>202</v>
      </c>
      <c r="L9" s="117" t="s">
        <v>203</v>
      </c>
      <c r="M9" s="117" t="s">
        <v>222</v>
      </c>
      <c r="N9" s="117" t="s">
        <v>223</v>
      </c>
      <c r="O9" s="117" t="s">
        <v>212</v>
      </c>
    </row>
    <row r="10" spans="1:15" ht="54" customHeight="1" x14ac:dyDescent="0.25">
      <c r="A10" s="208" t="s">
        <v>31</v>
      </c>
      <c r="B10" s="889" t="s">
        <v>100</v>
      </c>
      <c r="C10" s="889"/>
      <c r="D10" s="889"/>
      <c r="E10" s="889"/>
      <c r="G10" s="116">
        <v>100</v>
      </c>
      <c r="H10" s="128">
        <f>J10/G10</f>
        <v>1488.0945347119646</v>
      </c>
      <c r="I10" s="116">
        <v>0.86</v>
      </c>
      <c r="J10" s="129">
        <f>M10/L10*G10*100</f>
        <v>148809.45347119647</v>
      </c>
      <c r="K10" s="117">
        <v>0.26100000000000001</v>
      </c>
      <c r="L10" s="119">
        <v>3385</v>
      </c>
      <c r="M10" s="119">
        <v>50372</v>
      </c>
      <c r="N10" s="117">
        <v>5000</v>
      </c>
      <c r="O10" s="117">
        <v>10</v>
      </c>
    </row>
    <row r="11" spans="1:15" ht="30" customHeight="1" x14ac:dyDescent="0.25">
      <c r="A11" s="209" t="s">
        <v>16</v>
      </c>
      <c r="B11" s="874" t="s">
        <v>512</v>
      </c>
      <c r="C11" s="874"/>
      <c r="D11" s="874"/>
      <c r="E11" s="874"/>
    </row>
    <row r="12" spans="1:15" ht="30" customHeight="1" x14ac:dyDescent="0.25">
      <c r="A12" s="209" t="s">
        <v>3</v>
      </c>
      <c r="B12" s="874"/>
      <c r="C12" s="874"/>
      <c r="D12" s="874"/>
      <c r="E12" s="874"/>
    </row>
    <row r="13" spans="1:15" ht="30" customHeight="1" x14ac:dyDescent="0.25">
      <c r="A13" s="209" t="s">
        <v>17</v>
      </c>
      <c r="B13" s="874"/>
      <c r="C13" s="874"/>
      <c r="D13" s="874"/>
      <c r="E13" s="874"/>
    </row>
    <row r="14" spans="1:15" ht="30" customHeight="1" x14ac:dyDescent="0.25">
      <c r="A14" s="209" t="s">
        <v>4</v>
      </c>
      <c r="B14" s="874">
        <v>2015</v>
      </c>
      <c r="C14" s="874"/>
      <c r="D14" s="874"/>
      <c r="E14" s="874"/>
    </row>
    <row r="15" spans="1:15" ht="30" customHeight="1" x14ac:dyDescent="0.25">
      <c r="A15" s="209" t="s">
        <v>5</v>
      </c>
      <c r="B15" s="874">
        <v>2020</v>
      </c>
      <c r="C15" s="874"/>
      <c r="D15" s="874"/>
      <c r="E15" s="874"/>
    </row>
    <row r="16" spans="1:15" ht="30" customHeight="1" x14ac:dyDescent="0.25">
      <c r="A16" s="209" t="s">
        <v>6</v>
      </c>
      <c r="B16" s="859">
        <f>G10*N10</f>
        <v>500000</v>
      </c>
      <c r="C16" s="859"/>
      <c r="D16" s="859"/>
      <c r="E16" s="859"/>
    </row>
    <row r="17" spans="1:9" ht="30" customHeight="1" x14ac:dyDescent="0.25">
      <c r="A17" s="209" t="s">
        <v>7</v>
      </c>
      <c r="B17" s="859">
        <v>0</v>
      </c>
      <c r="C17" s="859"/>
      <c r="D17" s="859"/>
      <c r="E17" s="859"/>
    </row>
    <row r="18" spans="1:9" ht="30" customHeight="1" x14ac:dyDescent="0.25">
      <c r="A18" s="210" t="s">
        <v>468</v>
      </c>
      <c r="B18" s="868">
        <f>G10*H10*10*O10/100</f>
        <v>148809.45347119647</v>
      </c>
      <c r="C18" s="869"/>
      <c r="D18" s="869"/>
      <c r="E18" s="869"/>
      <c r="H18" s="2"/>
    </row>
    <row r="19" spans="1:9" ht="30" customHeight="1" x14ac:dyDescent="0.25">
      <c r="A19" s="238" t="s">
        <v>467</v>
      </c>
      <c r="B19" s="870"/>
      <c r="C19" s="871"/>
      <c r="D19" s="871"/>
      <c r="E19" s="871"/>
      <c r="H19" s="2"/>
    </row>
    <row r="20" spans="1:9" ht="30" customHeight="1" x14ac:dyDescent="0.25">
      <c r="A20" s="209" t="s">
        <v>8</v>
      </c>
      <c r="B20" s="845">
        <f>B18/10*I10</f>
        <v>12797.612998522896</v>
      </c>
      <c r="C20" s="845"/>
      <c r="D20" s="845"/>
      <c r="E20" s="845"/>
    </row>
    <row r="21" spans="1:9" ht="30" customHeight="1" x14ac:dyDescent="0.25">
      <c r="A21" s="209" t="s">
        <v>9</v>
      </c>
      <c r="B21" s="845"/>
      <c r="C21" s="845"/>
      <c r="D21" s="845"/>
      <c r="E21" s="845"/>
    </row>
    <row r="22" spans="1:9" ht="30" customHeight="1" x14ac:dyDescent="0.25">
      <c r="A22" s="209" t="s">
        <v>465</v>
      </c>
      <c r="B22" s="846">
        <f>B16/(B20+B21)</f>
        <v>39.069785909115247</v>
      </c>
      <c r="C22" s="846"/>
      <c r="D22" s="846"/>
      <c r="E22" s="846"/>
    </row>
    <row r="23" spans="1:9" ht="30" customHeight="1" x14ac:dyDescent="0.25">
      <c r="A23" s="209" t="s">
        <v>466</v>
      </c>
      <c r="B23" s="847">
        <f>(B16-B17)/(B20+B21)</f>
        <v>39.069785909115247</v>
      </c>
      <c r="C23" s="847"/>
      <c r="D23" s="847"/>
      <c r="E23" s="847"/>
    </row>
    <row r="24" spans="1:9" ht="30" customHeight="1" x14ac:dyDescent="0.25">
      <c r="A24" s="211" t="s">
        <v>476</v>
      </c>
      <c r="B24" s="901">
        <f>B18/1000*K10</f>
        <v>38.83926735598228</v>
      </c>
      <c r="C24" s="901"/>
      <c r="D24" s="901"/>
      <c r="E24" s="901"/>
    </row>
    <row r="25" spans="1:9" ht="30" customHeight="1" x14ac:dyDescent="0.25">
      <c r="A25" s="212" t="s">
        <v>463</v>
      </c>
      <c r="B25" s="881">
        <f>B24/'Objectifs CO2'!C12</f>
        <v>1.1256168981056205E-2</v>
      </c>
      <c r="C25" s="881"/>
      <c r="D25" s="881"/>
      <c r="E25" s="881"/>
    </row>
    <row r="26" spans="1:9" ht="30" customHeight="1" x14ac:dyDescent="0.25">
      <c r="A26" s="213" t="s">
        <v>464</v>
      </c>
      <c r="B26" s="881">
        <f>B24/'Objectifs CO2'!C8</f>
        <v>5.6280844905281027E-3</v>
      </c>
      <c r="C26" s="881"/>
      <c r="D26" s="881"/>
      <c r="E26" s="881"/>
    </row>
    <row r="27" spans="1:9" ht="30" customHeight="1" x14ac:dyDescent="0.25">
      <c r="A27" s="213" t="s">
        <v>24</v>
      </c>
      <c r="B27" s="853" t="s">
        <v>10</v>
      </c>
      <c r="C27" s="853"/>
      <c r="D27" s="853"/>
      <c r="E27" s="853"/>
    </row>
    <row r="28" spans="1:9" ht="30" customHeight="1" x14ac:dyDescent="0.25">
      <c r="A28" s="213" t="s">
        <v>418</v>
      </c>
      <c r="B28" s="853" t="s">
        <v>837</v>
      </c>
      <c r="C28" s="853"/>
      <c r="D28" s="853"/>
      <c r="E28" s="853"/>
      <c r="F28" s="37" t="s">
        <v>427</v>
      </c>
    </row>
    <row r="30" spans="1:9" x14ac:dyDescent="0.25">
      <c r="B30" s="867" t="s">
        <v>530</v>
      </c>
      <c r="C30" s="867"/>
      <c r="D30" s="867"/>
      <c r="E30" s="143" t="s">
        <v>538</v>
      </c>
    </row>
    <row r="31" spans="1:9" x14ac:dyDescent="0.25">
      <c r="B31" s="864" t="s">
        <v>521</v>
      </c>
      <c r="C31" s="864"/>
      <c r="D31" s="864"/>
      <c r="E31" s="114"/>
      <c r="G31" s="866" t="s">
        <v>538</v>
      </c>
      <c r="H31" s="866"/>
      <c r="I31" s="866"/>
    </row>
    <row r="32" spans="1:9" x14ac:dyDescent="0.25">
      <c r="B32" s="864" t="s">
        <v>522</v>
      </c>
      <c r="C32" s="864"/>
      <c r="D32" s="864"/>
      <c r="E32" s="114"/>
      <c r="G32" s="252">
        <v>3</v>
      </c>
      <c r="H32" s="866" t="s">
        <v>535</v>
      </c>
      <c r="I32" s="866"/>
    </row>
    <row r="33" spans="2:9" x14ac:dyDescent="0.25">
      <c r="B33" s="864" t="s">
        <v>524</v>
      </c>
      <c r="C33" s="864"/>
      <c r="D33" s="864"/>
      <c r="E33" s="114"/>
      <c r="G33" s="252">
        <v>2</v>
      </c>
      <c r="H33" s="866" t="s">
        <v>536</v>
      </c>
      <c r="I33" s="866"/>
    </row>
    <row r="34" spans="2:9" x14ac:dyDescent="0.25">
      <c r="B34" s="864" t="s">
        <v>523</v>
      </c>
      <c r="C34" s="864"/>
      <c r="D34" s="864"/>
      <c r="E34" s="114"/>
      <c r="G34" s="252">
        <v>1</v>
      </c>
      <c r="H34" s="866" t="s">
        <v>537</v>
      </c>
      <c r="I34" s="866"/>
    </row>
    <row r="35" spans="2:9" x14ac:dyDescent="0.25">
      <c r="B35" s="864" t="s">
        <v>525</v>
      </c>
      <c r="C35" s="864"/>
      <c r="D35" s="864"/>
      <c r="E35" s="114"/>
    </row>
    <row r="36" spans="2:9" x14ac:dyDescent="0.25">
      <c r="B36" s="864" t="s">
        <v>526</v>
      </c>
      <c r="C36" s="864"/>
      <c r="D36" s="864"/>
      <c r="E36" s="114"/>
    </row>
    <row r="37" spans="2:9" x14ac:dyDescent="0.25">
      <c r="B37" s="864" t="s">
        <v>527</v>
      </c>
      <c r="C37" s="864"/>
      <c r="D37" s="864"/>
      <c r="E37" s="114"/>
    </row>
    <row r="38" spans="2:9" x14ac:dyDescent="0.25">
      <c r="B38" s="864" t="s">
        <v>528</v>
      </c>
      <c r="C38" s="864"/>
      <c r="D38" s="864"/>
      <c r="E38" s="114"/>
    </row>
    <row r="39" spans="2:9" x14ac:dyDescent="0.25">
      <c r="B39" s="864" t="s">
        <v>529</v>
      </c>
      <c r="C39" s="864"/>
      <c r="D39" s="864"/>
      <c r="E39" s="114"/>
      <c r="G39" s="863" t="s">
        <v>541</v>
      </c>
      <c r="H39" s="863"/>
      <c r="I39" s="863"/>
    </row>
    <row r="40" spans="2:9" x14ac:dyDescent="0.25">
      <c r="B40" s="865" t="s">
        <v>395</v>
      </c>
      <c r="C40" s="865"/>
      <c r="D40" s="865"/>
      <c r="E40" s="258">
        <f>SUM(E31:E39)</f>
        <v>0</v>
      </c>
      <c r="G40" s="254" t="s">
        <v>542</v>
      </c>
      <c r="H40" s="257" t="s">
        <v>543</v>
      </c>
      <c r="I40" s="254" t="s">
        <v>544</v>
      </c>
    </row>
    <row r="41" spans="2:9" x14ac:dyDescent="0.25">
      <c r="E41" s="202" t="s">
        <v>576</v>
      </c>
      <c r="G41" s="254" t="s">
        <v>545</v>
      </c>
      <c r="H41" s="254" t="s">
        <v>547</v>
      </c>
      <c r="I41" s="254" t="s">
        <v>546</v>
      </c>
    </row>
    <row r="43" spans="2:9" x14ac:dyDescent="0.25">
      <c r="B43" s="860" t="s">
        <v>520</v>
      </c>
      <c r="C43" s="861"/>
      <c r="D43" s="862"/>
      <c r="E43" s="251">
        <v>1</v>
      </c>
      <c r="G43" s="254">
        <v>1</v>
      </c>
      <c r="H43" s="254" t="s">
        <v>539</v>
      </c>
    </row>
    <row r="44" spans="2:9" x14ac:dyDescent="0.25">
      <c r="G44" s="254">
        <v>0</v>
      </c>
      <c r="H44" s="254" t="s">
        <v>540</v>
      </c>
    </row>
  </sheetData>
  <mergeCells count="45">
    <mergeCell ref="G6:I6"/>
    <mergeCell ref="B19:E19"/>
    <mergeCell ref="B9:E9"/>
    <mergeCell ref="A2:E2"/>
    <mergeCell ref="C5:D5"/>
    <mergeCell ref="B7:E7"/>
    <mergeCell ref="B8:E8"/>
    <mergeCell ref="B10:E10"/>
    <mergeCell ref="B11:E11"/>
    <mergeCell ref="B12:E12"/>
    <mergeCell ref="B13:E13"/>
    <mergeCell ref="B14:E14"/>
    <mergeCell ref="C4:D4"/>
    <mergeCell ref="G31:I31"/>
    <mergeCell ref="B32:D32"/>
    <mergeCell ref="H32:I32"/>
    <mergeCell ref="B15:E15"/>
    <mergeCell ref="B16:E16"/>
    <mergeCell ref="B17:E17"/>
    <mergeCell ref="B28:E28"/>
    <mergeCell ref="B25:E25"/>
    <mergeCell ref="B26:E26"/>
    <mergeCell ref="B27:E27"/>
    <mergeCell ref="B18:E18"/>
    <mergeCell ref="B20:E20"/>
    <mergeCell ref="B21:E21"/>
    <mergeCell ref="B23:E23"/>
    <mergeCell ref="B24:E24"/>
    <mergeCell ref="B22:E22"/>
    <mergeCell ref="B43:D43"/>
    <mergeCell ref="G4:I4"/>
    <mergeCell ref="G5:I5"/>
    <mergeCell ref="G39:I39"/>
    <mergeCell ref="B36:D36"/>
    <mergeCell ref="B37:D37"/>
    <mergeCell ref="B38:D38"/>
    <mergeCell ref="B39:D39"/>
    <mergeCell ref="B40:D40"/>
    <mergeCell ref="B33:D33"/>
    <mergeCell ref="H33:I33"/>
    <mergeCell ref="B34:D34"/>
    <mergeCell ref="H34:I34"/>
    <mergeCell ref="B35:D35"/>
    <mergeCell ref="B30:D30"/>
    <mergeCell ref="B31:D31"/>
  </mergeCells>
  <conditionalFormatting sqref="E5">
    <cfRule type="containsText" dxfId="134" priority="1" operator="containsText" text="Terminé">
      <formula>NOT(ISERROR(SEARCH("Terminé",E5)))</formula>
    </cfRule>
    <cfRule type="containsText" dxfId="133" priority="2" operator="containsText" text="En cours">
      <formula>NOT(ISERROR(SEARCH("En cours",E5)))</formula>
    </cfRule>
    <cfRule type="containsText" dxfId="132"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pageSetup paperSize="9" scale="90" fitToHeight="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44"/>
  <sheetViews>
    <sheetView topLeftCell="A2" zoomScaleNormal="100" zoomScaleSheetLayoutView="106"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4" ht="21" x14ac:dyDescent="0.35">
      <c r="A1" s="11" t="s">
        <v>87</v>
      </c>
      <c r="B1" s="11"/>
      <c r="C1" s="11"/>
      <c r="D1" s="11"/>
      <c r="E1" s="11"/>
    </row>
    <row r="2" spans="1:14" ht="26.25" x14ac:dyDescent="0.4">
      <c r="A2" s="856" t="s">
        <v>913</v>
      </c>
      <c r="B2" s="856"/>
      <c r="C2" s="856"/>
      <c r="D2" s="856"/>
      <c r="E2" s="856"/>
    </row>
    <row r="3" spans="1:14" ht="27" thickBot="1" x14ac:dyDescent="0.45">
      <c r="A3" s="107"/>
      <c r="B3" s="107"/>
      <c r="C3" s="107"/>
      <c r="D3" s="107"/>
      <c r="E3" s="107"/>
    </row>
    <row r="4" spans="1:14" ht="15.75" thickBot="1" x14ac:dyDescent="0.3">
      <c r="A4" s="12"/>
      <c r="B4" s="233" t="s">
        <v>469</v>
      </c>
      <c r="C4" s="851" t="s">
        <v>35</v>
      </c>
      <c r="D4" s="852"/>
      <c r="E4" s="175" t="s">
        <v>104</v>
      </c>
      <c r="G4" s="848" t="s">
        <v>914</v>
      </c>
      <c r="H4" s="848"/>
      <c r="I4" s="848"/>
    </row>
    <row r="5" spans="1:14" ht="18.75" customHeight="1" x14ac:dyDescent="0.25">
      <c r="A5" s="381" t="s">
        <v>651</v>
      </c>
      <c r="B5" s="382" t="s">
        <v>786</v>
      </c>
      <c r="C5" s="820" t="s">
        <v>18</v>
      </c>
      <c r="D5" s="820"/>
      <c r="E5" s="232" t="s">
        <v>20</v>
      </c>
      <c r="G5" s="848" t="s">
        <v>915</v>
      </c>
      <c r="H5" s="848"/>
      <c r="I5" s="848"/>
    </row>
    <row r="6" spans="1:14" ht="16.5" thickBot="1" x14ac:dyDescent="0.3">
      <c r="A6" s="379" t="s">
        <v>660</v>
      </c>
      <c r="B6" s="380" t="s">
        <v>784</v>
      </c>
      <c r="C6" s="16"/>
      <c r="D6" s="16"/>
      <c r="E6" s="16"/>
      <c r="G6" s="850" t="s">
        <v>916</v>
      </c>
      <c r="H6" s="850"/>
      <c r="I6" s="850"/>
    </row>
    <row r="7" spans="1:14" ht="24" customHeight="1" thickBot="1" x14ac:dyDescent="0.3">
      <c r="A7" s="207" t="s">
        <v>1</v>
      </c>
      <c r="B7" s="820" t="s">
        <v>35</v>
      </c>
      <c r="C7" s="820"/>
      <c r="D7" s="820"/>
      <c r="E7" s="820"/>
    </row>
    <row r="8" spans="1:14" ht="24" customHeight="1" thickBot="1" x14ac:dyDescent="0.3">
      <c r="A8" s="207" t="s">
        <v>0</v>
      </c>
      <c r="B8" s="820" t="s">
        <v>102</v>
      </c>
      <c r="C8" s="820"/>
      <c r="D8" s="820"/>
      <c r="E8" s="820"/>
    </row>
    <row r="9" spans="1:14" ht="54" customHeight="1" x14ac:dyDescent="0.25">
      <c r="A9" s="208" t="s">
        <v>2</v>
      </c>
      <c r="B9" s="890" t="s">
        <v>728</v>
      </c>
      <c r="C9" s="889"/>
      <c r="D9" s="889"/>
      <c r="E9" s="889"/>
      <c r="G9" s="116" t="s">
        <v>219</v>
      </c>
      <c r="H9" s="116" t="s">
        <v>220</v>
      </c>
      <c r="I9" s="116" t="s">
        <v>201</v>
      </c>
      <c r="J9" s="117" t="s">
        <v>136</v>
      </c>
      <c r="K9" s="117" t="s">
        <v>202</v>
      </c>
      <c r="L9" s="117" t="s">
        <v>203</v>
      </c>
      <c r="M9" s="117" t="s">
        <v>188</v>
      </c>
      <c r="N9" s="117" t="s">
        <v>223</v>
      </c>
    </row>
    <row r="10" spans="1:14" ht="54" customHeight="1" x14ac:dyDescent="0.25">
      <c r="A10" s="208" t="s">
        <v>31</v>
      </c>
      <c r="B10" s="889" t="s">
        <v>103</v>
      </c>
      <c r="C10" s="889"/>
      <c r="D10" s="889"/>
      <c r="E10" s="889"/>
      <c r="G10" s="116">
        <v>50</v>
      </c>
      <c r="H10" s="128">
        <f>J10/G10</f>
        <v>1488.0945347119646</v>
      </c>
      <c r="I10" s="116">
        <v>0.86</v>
      </c>
      <c r="J10" s="130">
        <f>M10/L10*G10*100</f>
        <v>74404.726735598233</v>
      </c>
      <c r="K10" s="117">
        <v>0.26100000000000001</v>
      </c>
      <c r="L10" s="119">
        <v>3385</v>
      </c>
      <c r="M10" s="119">
        <v>50372</v>
      </c>
      <c r="N10" s="117">
        <v>15000</v>
      </c>
    </row>
    <row r="11" spans="1:14" ht="30" customHeight="1" x14ac:dyDescent="0.25">
      <c r="A11" s="209" t="s">
        <v>16</v>
      </c>
      <c r="B11" s="874" t="s">
        <v>512</v>
      </c>
      <c r="C11" s="874"/>
      <c r="D11" s="874"/>
      <c r="E11" s="874"/>
    </row>
    <row r="12" spans="1:14" ht="30" customHeight="1" x14ac:dyDescent="0.25">
      <c r="A12" s="209" t="s">
        <v>3</v>
      </c>
      <c r="B12" s="874"/>
      <c r="C12" s="874"/>
      <c r="D12" s="874"/>
      <c r="E12" s="874"/>
      <c r="G12" s="117" t="s">
        <v>456</v>
      </c>
    </row>
    <row r="13" spans="1:14" ht="30" customHeight="1" x14ac:dyDescent="0.25">
      <c r="A13" s="209" t="s">
        <v>17</v>
      </c>
      <c r="B13" s="874"/>
      <c r="C13" s="874"/>
      <c r="D13" s="874"/>
      <c r="E13" s="874"/>
      <c r="G13" s="129">
        <v>800</v>
      </c>
    </row>
    <row r="14" spans="1:14" ht="30" customHeight="1" x14ac:dyDescent="0.25">
      <c r="A14" s="209" t="s">
        <v>4</v>
      </c>
      <c r="B14" s="874">
        <v>2015</v>
      </c>
      <c r="C14" s="874"/>
      <c r="D14" s="874"/>
      <c r="E14" s="874"/>
    </row>
    <row r="15" spans="1:14" ht="30" customHeight="1" x14ac:dyDescent="0.25">
      <c r="A15" s="209" t="s">
        <v>5</v>
      </c>
      <c r="B15" s="874">
        <v>2020</v>
      </c>
      <c r="C15" s="874"/>
      <c r="D15" s="874"/>
      <c r="E15" s="874"/>
    </row>
    <row r="16" spans="1:14" ht="30" customHeight="1" x14ac:dyDescent="0.25">
      <c r="A16" s="209" t="s">
        <v>6</v>
      </c>
      <c r="B16" s="845">
        <f>G10*N10</f>
        <v>750000</v>
      </c>
      <c r="C16" s="845"/>
      <c r="D16" s="845"/>
      <c r="E16" s="845"/>
    </row>
    <row r="17" spans="1:9" ht="30" customHeight="1" x14ac:dyDescent="0.25">
      <c r="A17" s="209" t="s">
        <v>7</v>
      </c>
      <c r="B17" s="845">
        <f>G10*G13</f>
        <v>40000</v>
      </c>
      <c r="C17" s="845"/>
      <c r="D17" s="845"/>
      <c r="E17" s="845"/>
    </row>
    <row r="18" spans="1:9" ht="30" customHeight="1" x14ac:dyDescent="0.25">
      <c r="A18" s="210" t="s">
        <v>468</v>
      </c>
      <c r="B18" s="868">
        <f>G10*H10*10</f>
        <v>744047.26735598233</v>
      </c>
      <c r="C18" s="869"/>
      <c r="D18" s="869"/>
      <c r="E18" s="869"/>
      <c r="H18" s="2"/>
    </row>
    <row r="19" spans="1:9" ht="30" customHeight="1" x14ac:dyDescent="0.25">
      <c r="A19" s="238" t="s">
        <v>467</v>
      </c>
      <c r="B19" s="870">
        <f>G10*H10*10</f>
        <v>744047.26735598233</v>
      </c>
      <c r="C19" s="871"/>
      <c r="D19" s="871"/>
      <c r="E19" s="871"/>
      <c r="H19" s="2"/>
    </row>
    <row r="20" spans="1:9" ht="30" customHeight="1" x14ac:dyDescent="0.25">
      <c r="A20" s="209" t="s">
        <v>8</v>
      </c>
      <c r="B20" s="845">
        <f>B18/10*I10</f>
        <v>63988.064992614476</v>
      </c>
      <c r="C20" s="845"/>
      <c r="D20" s="845"/>
      <c r="E20" s="845"/>
    </row>
    <row r="21" spans="1:9" ht="30" customHeight="1" x14ac:dyDescent="0.25">
      <c r="A21" s="209" t="s">
        <v>9</v>
      </c>
      <c r="B21" s="845"/>
      <c r="C21" s="845"/>
      <c r="D21" s="845"/>
      <c r="E21" s="845"/>
    </row>
    <row r="22" spans="1:9" ht="30" customHeight="1" x14ac:dyDescent="0.25">
      <c r="A22" s="209" t="s">
        <v>465</v>
      </c>
      <c r="B22" s="846">
        <f>B16/B20</f>
        <v>11.720935772734576</v>
      </c>
      <c r="C22" s="846"/>
      <c r="D22" s="846"/>
      <c r="E22" s="846"/>
    </row>
    <row r="23" spans="1:9" ht="30" customHeight="1" x14ac:dyDescent="0.25">
      <c r="A23" s="209" t="s">
        <v>466</v>
      </c>
      <c r="B23" s="847">
        <f>(B16-B17)/B20</f>
        <v>11.095819198188732</v>
      </c>
      <c r="C23" s="847"/>
      <c r="D23" s="847"/>
      <c r="E23" s="847"/>
    </row>
    <row r="24" spans="1:9" ht="30" customHeight="1" x14ac:dyDescent="0.25">
      <c r="A24" s="211" t="s">
        <v>476</v>
      </c>
      <c r="B24" s="901">
        <f>B18/1000*K10</f>
        <v>194.19633677991138</v>
      </c>
      <c r="C24" s="901"/>
      <c r="D24" s="901"/>
      <c r="E24" s="901"/>
    </row>
    <row r="25" spans="1:9" ht="30" customHeight="1" x14ac:dyDescent="0.25">
      <c r="A25" s="212" t="s">
        <v>463</v>
      </c>
      <c r="B25" s="881">
        <f>B24/'Objectifs CO2'!C12</f>
        <v>5.628084490528102E-2</v>
      </c>
      <c r="C25" s="881"/>
      <c r="D25" s="881"/>
      <c r="E25" s="881"/>
    </row>
    <row r="26" spans="1:9" ht="30" customHeight="1" x14ac:dyDescent="0.25">
      <c r="A26" s="213" t="s">
        <v>464</v>
      </c>
      <c r="B26" s="881">
        <f>B24/'Objectifs CO2'!C8</f>
        <v>2.814042245264051E-2</v>
      </c>
      <c r="C26" s="881"/>
      <c r="D26" s="881"/>
      <c r="E26" s="881"/>
    </row>
    <row r="27" spans="1:9" ht="30" customHeight="1" x14ac:dyDescent="0.25">
      <c r="A27" s="213" t="s">
        <v>24</v>
      </c>
      <c r="B27" s="853" t="s">
        <v>10</v>
      </c>
      <c r="C27" s="853"/>
      <c r="D27" s="853"/>
      <c r="E27" s="853"/>
    </row>
    <row r="28" spans="1:9" ht="30" customHeight="1" x14ac:dyDescent="0.25">
      <c r="A28" s="213" t="s">
        <v>418</v>
      </c>
      <c r="B28" s="853" t="s">
        <v>428</v>
      </c>
      <c r="C28" s="853"/>
      <c r="D28" s="853"/>
      <c r="E28" s="853"/>
      <c r="F28" s="37" t="s">
        <v>427</v>
      </c>
    </row>
    <row r="30" spans="1:9" x14ac:dyDescent="0.25">
      <c r="B30" s="867" t="s">
        <v>530</v>
      </c>
      <c r="C30" s="867"/>
      <c r="D30" s="867"/>
      <c r="E30" s="143" t="s">
        <v>538</v>
      </c>
    </row>
    <row r="31" spans="1:9" x14ac:dyDescent="0.25">
      <c r="B31" s="864" t="s">
        <v>521</v>
      </c>
      <c r="C31" s="864"/>
      <c r="D31" s="864"/>
      <c r="E31" s="114"/>
      <c r="G31" s="866" t="s">
        <v>538</v>
      </c>
      <c r="H31" s="866"/>
      <c r="I31" s="866"/>
    </row>
    <row r="32" spans="1:9" x14ac:dyDescent="0.25">
      <c r="B32" s="864" t="s">
        <v>522</v>
      </c>
      <c r="C32" s="864"/>
      <c r="D32" s="864"/>
      <c r="E32" s="114"/>
      <c r="G32" s="252">
        <v>3</v>
      </c>
      <c r="H32" s="866" t="s">
        <v>535</v>
      </c>
      <c r="I32" s="866"/>
    </row>
    <row r="33" spans="2:9" x14ac:dyDescent="0.25">
      <c r="B33" s="864" t="s">
        <v>524</v>
      </c>
      <c r="C33" s="864"/>
      <c r="D33" s="864"/>
      <c r="E33" s="114"/>
      <c r="G33" s="252">
        <v>2</v>
      </c>
      <c r="H33" s="866" t="s">
        <v>536</v>
      </c>
      <c r="I33" s="866"/>
    </row>
    <row r="34" spans="2:9" x14ac:dyDescent="0.25">
      <c r="B34" s="864" t="s">
        <v>523</v>
      </c>
      <c r="C34" s="864"/>
      <c r="D34" s="864"/>
      <c r="E34" s="114"/>
      <c r="G34" s="252">
        <v>1</v>
      </c>
      <c r="H34" s="866" t="s">
        <v>537</v>
      </c>
      <c r="I34" s="866"/>
    </row>
    <row r="35" spans="2:9" x14ac:dyDescent="0.25">
      <c r="B35" s="864" t="s">
        <v>525</v>
      </c>
      <c r="C35" s="864"/>
      <c r="D35" s="864"/>
      <c r="E35" s="114"/>
    </row>
    <row r="36" spans="2:9" x14ac:dyDescent="0.25">
      <c r="B36" s="864" t="s">
        <v>526</v>
      </c>
      <c r="C36" s="864"/>
      <c r="D36" s="864"/>
      <c r="E36" s="114"/>
    </row>
    <row r="37" spans="2:9" x14ac:dyDescent="0.25">
      <c r="B37" s="864" t="s">
        <v>527</v>
      </c>
      <c r="C37" s="864"/>
      <c r="D37" s="864"/>
      <c r="E37" s="114"/>
    </row>
    <row r="38" spans="2:9" x14ac:dyDescent="0.25">
      <c r="B38" s="864" t="s">
        <v>528</v>
      </c>
      <c r="C38" s="864"/>
      <c r="D38" s="864"/>
      <c r="E38" s="114"/>
    </row>
    <row r="39" spans="2:9" x14ac:dyDescent="0.25">
      <c r="B39" s="864" t="s">
        <v>529</v>
      </c>
      <c r="C39" s="864"/>
      <c r="D39" s="864"/>
      <c r="E39" s="114"/>
      <c r="G39" s="863" t="s">
        <v>541</v>
      </c>
      <c r="H39" s="863"/>
      <c r="I39" s="863"/>
    </row>
    <row r="40" spans="2:9" x14ac:dyDescent="0.25">
      <c r="B40" s="865" t="s">
        <v>395</v>
      </c>
      <c r="C40" s="865"/>
      <c r="D40" s="865"/>
      <c r="E40" s="258">
        <f>SUM(E31:E39)</f>
        <v>0</v>
      </c>
      <c r="G40" s="254" t="s">
        <v>542</v>
      </c>
      <c r="H40" s="257" t="s">
        <v>543</v>
      </c>
      <c r="I40" s="254" t="s">
        <v>544</v>
      </c>
    </row>
    <row r="41" spans="2:9" x14ac:dyDescent="0.25">
      <c r="E41" s="202" t="s">
        <v>576</v>
      </c>
      <c r="G41" s="254" t="s">
        <v>545</v>
      </c>
      <c r="H41" s="254" t="s">
        <v>547</v>
      </c>
      <c r="I41" s="254" t="s">
        <v>546</v>
      </c>
    </row>
    <row r="43" spans="2:9" x14ac:dyDescent="0.25">
      <c r="B43" s="860" t="s">
        <v>520</v>
      </c>
      <c r="C43" s="861"/>
      <c r="D43" s="862"/>
      <c r="E43" s="251">
        <v>1</v>
      </c>
      <c r="G43" s="254">
        <v>1</v>
      </c>
      <c r="H43" s="254" t="s">
        <v>539</v>
      </c>
    </row>
    <row r="44" spans="2:9" x14ac:dyDescent="0.25">
      <c r="G44" s="254">
        <v>0</v>
      </c>
      <c r="H44" s="254" t="s">
        <v>540</v>
      </c>
    </row>
  </sheetData>
  <mergeCells count="45">
    <mergeCell ref="G6:I6"/>
    <mergeCell ref="B19:E19"/>
    <mergeCell ref="B9:E9"/>
    <mergeCell ref="A2:E2"/>
    <mergeCell ref="C5:D5"/>
    <mergeCell ref="B7:E7"/>
    <mergeCell ref="B8:E8"/>
    <mergeCell ref="B10:E10"/>
    <mergeCell ref="B11:E11"/>
    <mergeCell ref="B12:E12"/>
    <mergeCell ref="B13:E13"/>
    <mergeCell ref="B14:E14"/>
    <mergeCell ref="C4:D4"/>
    <mergeCell ref="G31:I31"/>
    <mergeCell ref="B32:D32"/>
    <mergeCell ref="H32:I32"/>
    <mergeCell ref="B15:E15"/>
    <mergeCell ref="B16:E16"/>
    <mergeCell ref="B17:E17"/>
    <mergeCell ref="B28:E28"/>
    <mergeCell ref="B25:E25"/>
    <mergeCell ref="B26:E26"/>
    <mergeCell ref="B27:E27"/>
    <mergeCell ref="B18:E18"/>
    <mergeCell ref="B20:E20"/>
    <mergeCell ref="B21:E21"/>
    <mergeCell ref="B23:E23"/>
    <mergeCell ref="B24:E24"/>
    <mergeCell ref="B22:E22"/>
    <mergeCell ref="B43:D43"/>
    <mergeCell ref="G4:I4"/>
    <mergeCell ref="G5:I5"/>
    <mergeCell ref="G39:I39"/>
    <mergeCell ref="B36:D36"/>
    <mergeCell ref="B37:D37"/>
    <mergeCell ref="B38:D38"/>
    <mergeCell ref="B39:D39"/>
    <mergeCell ref="B40:D40"/>
    <mergeCell ref="B33:D33"/>
    <mergeCell ref="H33:I33"/>
    <mergeCell ref="B34:D34"/>
    <mergeCell ref="H34:I34"/>
    <mergeCell ref="B35:D35"/>
    <mergeCell ref="B30:D30"/>
    <mergeCell ref="B31:D31"/>
  </mergeCells>
  <conditionalFormatting sqref="E5">
    <cfRule type="containsText" dxfId="131" priority="1" operator="containsText" text="Terminé">
      <formula>NOT(ISERROR(SEARCH("Terminé",E5)))</formula>
    </cfRule>
    <cfRule type="containsText" dxfId="130" priority="2" operator="containsText" text="En cours">
      <formula>NOT(ISERROR(SEARCH("En cours",E5)))</formula>
    </cfRule>
    <cfRule type="containsText" dxfId="129"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pageSetup paperSize="9" scale="90" fitToHeight="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44"/>
  <sheetViews>
    <sheetView topLeftCell="B16" zoomScaleNormal="100" zoomScaleSheetLayoutView="220"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3" ht="21" x14ac:dyDescent="0.35">
      <c r="A1" s="11" t="s">
        <v>87</v>
      </c>
      <c r="B1" s="11"/>
      <c r="C1" s="11"/>
      <c r="D1" s="11"/>
      <c r="E1" s="11"/>
    </row>
    <row r="2" spans="1:13" ht="26.25" x14ac:dyDescent="0.4">
      <c r="A2" s="856" t="s">
        <v>913</v>
      </c>
      <c r="B2" s="856"/>
      <c r="C2" s="856"/>
      <c r="D2" s="856"/>
      <c r="E2" s="856"/>
    </row>
    <row r="3" spans="1:13" ht="27" thickBot="1" x14ac:dyDescent="0.45">
      <c r="A3" s="107"/>
      <c r="B3" s="107"/>
      <c r="C3" s="107"/>
      <c r="D3" s="107"/>
      <c r="E3" s="107"/>
    </row>
    <row r="4" spans="1:13" ht="15.75" thickBot="1" x14ac:dyDescent="0.3">
      <c r="A4" s="12"/>
      <c r="B4" s="233" t="s">
        <v>469</v>
      </c>
      <c r="C4" s="851" t="s">
        <v>35</v>
      </c>
      <c r="D4" s="852"/>
      <c r="E4" s="175" t="s">
        <v>106</v>
      </c>
      <c r="G4" s="848" t="s">
        <v>914</v>
      </c>
      <c r="H4" s="848"/>
      <c r="I4" s="848"/>
    </row>
    <row r="5" spans="1:13" ht="18.75" customHeight="1" x14ac:dyDescent="0.25">
      <c r="A5" s="381" t="s">
        <v>651</v>
      </c>
      <c r="B5" s="382" t="s">
        <v>652</v>
      </c>
      <c r="C5" s="820" t="s">
        <v>18</v>
      </c>
      <c r="D5" s="820"/>
      <c r="E5" s="232" t="s">
        <v>21</v>
      </c>
      <c r="G5" s="848" t="s">
        <v>915</v>
      </c>
      <c r="H5" s="848"/>
      <c r="I5" s="848"/>
    </row>
    <row r="6" spans="1:13" ht="16.5" thickBot="1" x14ac:dyDescent="0.3">
      <c r="A6" s="379" t="s">
        <v>660</v>
      </c>
      <c r="B6" s="380" t="s">
        <v>784</v>
      </c>
      <c r="C6" s="16"/>
      <c r="D6" s="16"/>
      <c r="E6" s="16"/>
      <c r="G6" s="850" t="s">
        <v>916</v>
      </c>
      <c r="H6" s="850"/>
      <c r="I6" s="850"/>
    </row>
    <row r="7" spans="1:13" ht="24" customHeight="1" thickBot="1" x14ac:dyDescent="0.3">
      <c r="A7" s="207" t="s">
        <v>1</v>
      </c>
      <c r="B7" s="820" t="s">
        <v>35</v>
      </c>
      <c r="C7" s="820"/>
      <c r="D7" s="820"/>
      <c r="E7" s="820"/>
    </row>
    <row r="8" spans="1:13" ht="24" customHeight="1" thickBot="1" x14ac:dyDescent="0.3">
      <c r="A8" s="207" t="s">
        <v>0</v>
      </c>
      <c r="B8" s="820" t="s">
        <v>105</v>
      </c>
      <c r="C8" s="820"/>
      <c r="D8" s="820"/>
      <c r="E8" s="820"/>
    </row>
    <row r="9" spans="1:13" ht="54" customHeight="1" x14ac:dyDescent="0.25">
      <c r="A9" s="208" t="s">
        <v>2</v>
      </c>
      <c r="B9" s="890" t="s">
        <v>675</v>
      </c>
      <c r="C9" s="889"/>
      <c r="D9" s="889"/>
      <c r="E9" s="889"/>
      <c r="G9" s="131" t="s">
        <v>224</v>
      </c>
      <c r="H9" s="131" t="s">
        <v>225</v>
      </c>
      <c r="I9" s="131" t="s">
        <v>175</v>
      </c>
      <c r="J9" s="132" t="s">
        <v>226</v>
      </c>
      <c r="K9" s="132" t="s">
        <v>227</v>
      </c>
      <c r="L9" s="249" t="s">
        <v>228</v>
      </c>
      <c r="M9" s="249" t="s">
        <v>229</v>
      </c>
    </row>
    <row r="10" spans="1:13" ht="54" customHeight="1" x14ac:dyDescent="0.25">
      <c r="A10" s="208" t="s">
        <v>31</v>
      </c>
      <c r="B10" s="889"/>
      <c r="C10" s="889"/>
      <c r="D10" s="889"/>
      <c r="E10" s="889"/>
      <c r="G10" s="249">
        <v>106</v>
      </c>
      <c r="H10" s="249">
        <v>3</v>
      </c>
      <c r="I10" s="249">
        <v>0.15</v>
      </c>
      <c r="J10" s="250">
        <v>760</v>
      </c>
      <c r="K10" s="250">
        <v>0.36499999999999999</v>
      </c>
      <c r="L10" s="249">
        <v>3000</v>
      </c>
      <c r="M10" s="249">
        <f>2.285*1.06</f>
        <v>2.4221000000000004</v>
      </c>
    </row>
    <row r="11" spans="1:13" ht="30" customHeight="1" x14ac:dyDescent="0.25">
      <c r="A11" s="209" t="s">
        <v>16</v>
      </c>
      <c r="B11" s="874" t="s">
        <v>512</v>
      </c>
      <c r="C11" s="874"/>
      <c r="D11" s="874"/>
      <c r="E11" s="874"/>
      <c r="M11" s="37" t="s">
        <v>430</v>
      </c>
    </row>
    <row r="12" spans="1:13" ht="30" customHeight="1" x14ac:dyDescent="0.25">
      <c r="A12" s="209" t="s">
        <v>3</v>
      </c>
      <c r="B12" s="874"/>
      <c r="C12" s="874"/>
      <c r="D12" s="874"/>
      <c r="E12" s="874"/>
    </row>
    <row r="13" spans="1:13" ht="30" customHeight="1" x14ac:dyDescent="0.25">
      <c r="A13" s="209" t="s">
        <v>17</v>
      </c>
      <c r="B13" s="874"/>
      <c r="C13" s="874"/>
      <c r="D13" s="874"/>
      <c r="E13" s="874"/>
    </row>
    <row r="14" spans="1:13" ht="30" customHeight="1" x14ac:dyDescent="0.25">
      <c r="A14" s="209" t="s">
        <v>4</v>
      </c>
      <c r="B14" s="874">
        <v>2015</v>
      </c>
      <c r="C14" s="874"/>
      <c r="D14" s="874"/>
      <c r="E14" s="874"/>
      <c r="G14" s="25" t="s">
        <v>431</v>
      </c>
    </row>
    <row r="15" spans="1:13" ht="30" customHeight="1" x14ac:dyDescent="0.25">
      <c r="A15" s="209" t="s">
        <v>5</v>
      </c>
      <c r="B15" s="874">
        <v>2020</v>
      </c>
      <c r="C15" s="874"/>
      <c r="D15" s="874"/>
      <c r="E15" s="874"/>
      <c r="G15" s="154" t="s">
        <v>432</v>
      </c>
      <c r="H15" s="154"/>
      <c r="I15" s="154">
        <v>3</v>
      </c>
    </row>
    <row r="16" spans="1:13" ht="30" customHeight="1" x14ac:dyDescent="0.25">
      <c r="A16" s="209" t="s">
        <v>6</v>
      </c>
      <c r="B16" s="845">
        <f>G10*L10*M10+I18*G10</f>
        <v>819835.80000000016</v>
      </c>
      <c r="C16" s="845"/>
      <c r="D16" s="845"/>
      <c r="E16" s="845"/>
      <c r="G16" s="941" t="s">
        <v>433</v>
      </c>
      <c r="H16" s="942"/>
      <c r="I16" s="201">
        <f>I15*M10*1000</f>
        <v>7266.3000000000011</v>
      </c>
    </row>
    <row r="17" spans="1:9" ht="30" customHeight="1" x14ac:dyDescent="0.25">
      <c r="A17" s="209" t="s">
        <v>7</v>
      </c>
      <c r="B17" s="845">
        <f>G10*I19</f>
        <v>529925.80000000016</v>
      </c>
      <c r="C17" s="845"/>
      <c r="D17" s="845"/>
      <c r="E17" s="845"/>
      <c r="G17" s="941" t="s">
        <v>434</v>
      </c>
      <c r="H17" s="942"/>
      <c r="I17" s="201">
        <v>2735</v>
      </c>
    </row>
    <row r="18" spans="1:9" ht="30" customHeight="1" x14ac:dyDescent="0.25">
      <c r="A18" s="210" t="s">
        <v>468</v>
      </c>
      <c r="B18" s="945"/>
      <c r="C18" s="945"/>
      <c r="D18" s="945"/>
      <c r="E18" s="945"/>
      <c r="G18" s="154" t="s">
        <v>435</v>
      </c>
      <c r="H18" s="154"/>
      <c r="I18" s="201">
        <v>468</v>
      </c>
    </row>
    <row r="19" spans="1:9" ht="30" customHeight="1" x14ac:dyDescent="0.25">
      <c r="A19" s="238" t="s">
        <v>467</v>
      </c>
      <c r="B19" s="946">
        <f>G10*J10*H10</f>
        <v>241680</v>
      </c>
      <c r="C19" s="946"/>
      <c r="D19" s="946"/>
      <c r="E19" s="946"/>
      <c r="G19" s="943" t="s">
        <v>436</v>
      </c>
      <c r="H19" s="944"/>
      <c r="I19" s="201">
        <f>I16-I17+I18</f>
        <v>4999.3000000000011</v>
      </c>
    </row>
    <row r="20" spans="1:9" ht="30" customHeight="1" x14ac:dyDescent="0.25">
      <c r="A20" s="209" t="s">
        <v>8</v>
      </c>
      <c r="B20" s="845">
        <f>B19*I10</f>
        <v>36252</v>
      </c>
      <c r="C20" s="845"/>
      <c r="D20" s="845"/>
      <c r="E20" s="845"/>
    </row>
    <row r="21" spans="1:9" ht="30" customHeight="1" x14ac:dyDescent="0.25">
      <c r="A21" s="209" t="s">
        <v>9</v>
      </c>
      <c r="B21" s="845">
        <f>B19*I13*65/1000</f>
        <v>0</v>
      </c>
      <c r="C21" s="845"/>
      <c r="D21" s="845"/>
      <c r="E21" s="845"/>
    </row>
    <row r="22" spans="1:9" ht="30" customHeight="1" x14ac:dyDescent="0.25">
      <c r="A22" s="209" t="s">
        <v>465</v>
      </c>
      <c r="B22" s="846">
        <f>B16/(B20+B21)</f>
        <v>22.614912280701759</v>
      </c>
      <c r="C22" s="846"/>
      <c r="D22" s="846"/>
      <c r="E22" s="846"/>
    </row>
    <row r="23" spans="1:9" ht="30" customHeight="1" x14ac:dyDescent="0.25">
      <c r="A23" s="209" t="s">
        <v>466</v>
      </c>
      <c r="B23" s="847">
        <f>(B16-B17)/(B20+B21)</f>
        <v>7.9970760233918128</v>
      </c>
      <c r="C23" s="847"/>
      <c r="D23" s="847"/>
      <c r="E23" s="847"/>
    </row>
    <row r="24" spans="1:9" ht="30" customHeight="1" x14ac:dyDescent="0.25">
      <c r="A24" s="211" t="s">
        <v>476</v>
      </c>
      <c r="B24" s="901">
        <f>B19*K10/1000</f>
        <v>88.213200000000001</v>
      </c>
      <c r="C24" s="901"/>
      <c r="D24" s="901"/>
      <c r="E24" s="901"/>
    </row>
    <row r="25" spans="1:9" ht="30" customHeight="1" x14ac:dyDescent="0.25">
      <c r="A25" s="212" t="s">
        <v>463</v>
      </c>
      <c r="B25" s="881">
        <f>B24/'Objectifs CO2'!C12</f>
        <v>2.5565432953687465E-2</v>
      </c>
      <c r="C25" s="881"/>
      <c r="D25" s="881"/>
      <c r="E25" s="881"/>
    </row>
    <row r="26" spans="1:9" ht="30" customHeight="1" x14ac:dyDescent="0.25">
      <c r="A26" s="213" t="s">
        <v>464</v>
      </c>
      <c r="B26" s="881">
        <f>B24/'Objectifs CO2'!C8</f>
        <v>1.2782716476843732E-2</v>
      </c>
      <c r="C26" s="881"/>
      <c r="D26" s="881"/>
      <c r="E26" s="881"/>
    </row>
    <row r="27" spans="1:9" ht="30" customHeight="1" x14ac:dyDescent="0.25">
      <c r="A27" s="213" t="s">
        <v>24</v>
      </c>
      <c r="B27" s="853" t="s">
        <v>10</v>
      </c>
      <c r="C27" s="853"/>
      <c r="D27" s="853"/>
      <c r="E27" s="853"/>
    </row>
    <row r="28" spans="1:9" ht="30" customHeight="1" x14ac:dyDescent="0.25">
      <c r="A28" s="213" t="s">
        <v>418</v>
      </c>
      <c r="B28" s="853" t="s">
        <v>838</v>
      </c>
      <c r="C28" s="853"/>
      <c r="D28" s="853"/>
      <c r="E28" s="853"/>
      <c r="G28" s="37" t="s">
        <v>429</v>
      </c>
    </row>
    <row r="30" spans="1:9" x14ac:dyDescent="0.25">
      <c r="B30" s="867" t="s">
        <v>530</v>
      </c>
      <c r="C30" s="867"/>
      <c r="D30" s="867"/>
      <c r="E30" s="143" t="s">
        <v>538</v>
      </c>
    </row>
    <row r="31" spans="1:9" x14ac:dyDescent="0.25">
      <c r="B31" s="864" t="s">
        <v>521</v>
      </c>
      <c r="C31" s="864"/>
      <c r="D31" s="864"/>
      <c r="E31" s="114"/>
      <c r="G31" s="866" t="s">
        <v>538</v>
      </c>
      <c r="H31" s="866"/>
      <c r="I31" s="866"/>
    </row>
    <row r="32" spans="1:9" x14ac:dyDescent="0.25">
      <c r="B32" s="864" t="s">
        <v>522</v>
      </c>
      <c r="C32" s="864"/>
      <c r="D32" s="864"/>
      <c r="E32" s="114"/>
      <c r="G32" s="252">
        <v>3</v>
      </c>
      <c r="H32" s="866" t="s">
        <v>535</v>
      </c>
      <c r="I32" s="866"/>
    </row>
    <row r="33" spans="2:9" x14ac:dyDescent="0.25">
      <c r="B33" s="864" t="s">
        <v>524</v>
      </c>
      <c r="C33" s="864"/>
      <c r="D33" s="864"/>
      <c r="E33" s="114"/>
      <c r="G33" s="252">
        <v>2</v>
      </c>
      <c r="H33" s="866" t="s">
        <v>536</v>
      </c>
      <c r="I33" s="866"/>
    </row>
    <row r="34" spans="2:9" x14ac:dyDescent="0.25">
      <c r="B34" s="864" t="s">
        <v>523</v>
      </c>
      <c r="C34" s="864"/>
      <c r="D34" s="864"/>
      <c r="E34" s="114"/>
      <c r="G34" s="252">
        <v>1</v>
      </c>
      <c r="H34" s="866" t="s">
        <v>537</v>
      </c>
      <c r="I34" s="866"/>
    </row>
    <row r="35" spans="2:9" x14ac:dyDescent="0.25">
      <c r="B35" s="864" t="s">
        <v>525</v>
      </c>
      <c r="C35" s="864"/>
      <c r="D35" s="864"/>
      <c r="E35" s="114"/>
    </row>
    <row r="36" spans="2:9" x14ac:dyDescent="0.25">
      <c r="B36" s="864" t="s">
        <v>526</v>
      </c>
      <c r="C36" s="864"/>
      <c r="D36" s="864"/>
      <c r="E36" s="114"/>
    </row>
    <row r="37" spans="2:9" x14ac:dyDescent="0.25">
      <c r="B37" s="864" t="s">
        <v>527</v>
      </c>
      <c r="C37" s="864"/>
      <c r="D37" s="864"/>
      <c r="E37" s="114"/>
    </row>
    <row r="38" spans="2:9" x14ac:dyDescent="0.25">
      <c r="B38" s="864" t="s">
        <v>528</v>
      </c>
      <c r="C38" s="864"/>
      <c r="D38" s="864"/>
      <c r="E38" s="114"/>
    </row>
    <row r="39" spans="2:9" x14ac:dyDescent="0.25">
      <c r="B39" s="864" t="s">
        <v>529</v>
      </c>
      <c r="C39" s="864"/>
      <c r="D39" s="864"/>
      <c r="E39" s="114"/>
      <c r="G39" s="863" t="s">
        <v>541</v>
      </c>
      <c r="H39" s="863"/>
      <c r="I39" s="863"/>
    </row>
    <row r="40" spans="2:9" x14ac:dyDescent="0.25">
      <c r="B40" s="865" t="s">
        <v>395</v>
      </c>
      <c r="C40" s="865"/>
      <c r="D40" s="865"/>
      <c r="E40" s="258">
        <f>SUM(E31:E39)</f>
        <v>0</v>
      </c>
      <c r="G40" s="254" t="s">
        <v>542</v>
      </c>
      <c r="H40" s="257" t="s">
        <v>543</v>
      </c>
      <c r="I40" s="254" t="s">
        <v>544</v>
      </c>
    </row>
    <row r="41" spans="2:9" x14ac:dyDescent="0.25">
      <c r="E41" s="202" t="s">
        <v>576</v>
      </c>
      <c r="G41" s="254" t="s">
        <v>545</v>
      </c>
      <c r="H41" s="254" t="s">
        <v>547</v>
      </c>
      <c r="I41" s="254" t="s">
        <v>546</v>
      </c>
    </row>
    <row r="43" spans="2:9" x14ac:dyDescent="0.25">
      <c r="B43" s="860" t="s">
        <v>520</v>
      </c>
      <c r="C43" s="861"/>
      <c r="D43" s="862"/>
      <c r="E43" s="251">
        <v>1</v>
      </c>
      <c r="G43" s="254">
        <v>1</v>
      </c>
      <c r="H43" s="254" t="s">
        <v>539</v>
      </c>
    </row>
    <row r="44" spans="2:9" x14ac:dyDescent="0.25">
      <c r="G44" s="254">
        <v>0</v>
      </c>
      <c r="H44" s="254" t="s">
        <v>540</v>
      </c>
    </row>
  </sheetData>
  <mergeCells count="48">
    <mergeCell ref="G6:I6"/>
    <mergeCell ref="B23:E23"/>
    <mergeCell ref="B24:E24"/>
    <mergeCell ref="B22:E22"/>
    <mergeCell ref="B19:E19"/>
    <mergeCell ref="B9:E9"/>
    <mergeCell ref="B11:E11"/>
    <mergeCell ref="B12:E12"/>
    <mergeCell ref="B13:E13"/>
    <mergeCell ref="B14:E14"/>
    <mergeCell ref="A2:E2"/>
    <mergeCell ref="C5:D5"/>
    <mergeCell ref="B7:E7"/>
    <mergeCell ref="B8:E8"/>
    <mergeCell ref="B10:E10"/>
    <mergeCell ref="C4:D4"/>
    <mergeCell ref="G31:I31"/>
    <mergeCell ref="B32:D32"/>
    <mergeCell ref="H32:I32"/>
    <mergeCell ref="B15:E15"/>
    <mergeCell ref="B16:E16"/>
    <mergeCell ref="B17:E17"/>
    <mergeCell ref="B28:E28"/>
    <mergeCell ref="G16:H16"/>
    <mergeCell ref="G17:H17"/>
    <mergeCell ref="G19:H19"/>
    <mergeCell ref="B25:E25"/>
    <mergeCell ref="B26:E26"/>
    <mergeCell ref="B27:E27"/>
    <mergeCell ref="B18:E18"/>
    <mergeCell ref="B20:E20"/>
    <mergeCell ref="B21:E21"/>
    <mergeCell ref="B43:D43"/>
    <mergeCell ref="G4:I4"/>
    <mergeCell ref="G5:I5"/>
    <mergeCell ref="G39:I39"/>
    <mergeCell ref="B36:D36"/>
    <mergeCell ref="B37:D37"/>
    <mergeCell ref="B38:D38"/>
    <mergeCell ref="B39:D39"/>
    <mergeCell ref="B40:D40"/>
    <mergeCell ref="B33:D33"/>
    <mergeCell ref="H33:I33"/>
    <mergeCell ref="B34:D34"/>
    <mergeCell ref="H34:I34"/>
    <mergeCell ref="B35:D35"/>
    <mergeCell ref="B30:D30"/>
    <mergeCell ref="B31:D31"/>
  </mergeCells>
  <conditionalFormatting sqref="E5">
    <cfRule type="containsText" dxfId="128" priority="1" operator="containsText" text="Terminé">
      <formula>NOT(ISERROR(SEARCH("Terminé",E5)))</formula>
    </cfRule>
    <cfRule type="containsText" dxfId="127" priority="2" operator="containsText" text="En cours">
      <formula>NOT(ISERROR(SEARCH("En cours",E5)))</formula>
    </cfRule>
    <cfRule type="containsText" dxfId="126"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pageSetup paperSize="9" scale="9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4"/>
  <sheetViews>
    <sheetView topLeftCell="B4" zoomScaleNormal="100" zoomScaleSheetLayoutView="220"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2" ht="21" x14ac:dyDescent="0.35">
      <c r="A1" s="11" t="s">
        <v>87</v>
      </c>
      <c r="B1" s="11"/>
      <c r="C1" s="11"/>
      <c r="D1" s="11"/>
      <c r="E1" s="11"/>
    </row>
    <row r="2" spans="1:12" ht="26.25" x14ac:dyDescent="0.4">
      <c r="A2" s="856" t="s">
        <v>913</v>
      </c>
      <c r="B2" s="856"/>
      <c r="C2" s="856"/>
      <c r="D2" s="856"/>
      <c r="E2" s="856"/>
    </row>
    <row r="3" spans="1:12" ht="27" thickBot="1" x14ac:dyDescent="0.45">
      <c r="A3" s="107"/>
      <c r="B3" s="107"/>
      <c r="C3" s="107"/>
      <c r="D3" s="107"/>
      <c r="E3" s="107"/>
    </row>
    <row r="4" spans="1:12" ht="15.75" thickBot="1" x14ac:dyDescent="0.3">
      <c r="A4" s="12"/>
      <c r="B4" s="233" t="s">
        <v>469</v>
      </c>
      <c r="C4" s="851" t="s">
        <v>40</v>
      </c>
      <c r="D4" s="852"/>
      <c r="E4" s="175" t="s">
        <v>109</v>
      </c>
      <c r="G4" s="848" t="s">
        <v>914</v>
      </c>
      <c r="H4" s="848"/>
      <c r="I4" s="848"/>
    </row>
    <row r="5" spans="1:12" ht="18.75" customHeight="1" x14ac:dyDescent="0.25">
      <c r="A5" s="381" t="s">
        <v>651</v>
      </c>
      <c r="B5" s="382" t="s">
        <v>652</v>
      </c>
      <c r="C5" s="820" t="s">
        <v>18</v>
      </c>
      <c r="D5" s="820"/>
      <c r="E5" s="232" t="s">
        <v>19</v>
      </c>
      <c r="G5" s="848" t="s">
        <v>915</v>
      </c>
      <c r="H5" s="848"/>
      <c r="I5" s="848"/>
    </row>
    <row r="6" spans="1:12" ht="16.5" thickBot="1" x14ac:dyDescent="0.3">
      <c r="A6" s="379" t="s">
        <v>660</v>
      </c>
      <c r="B6" s="380" t="s">
        <v>784</v>
      </c>
      <c r="C6" s="16"/>
      <c r="D6" s="16"/>
      <c r="E6" s="16"/>
      <c r="G6" s="850" t="s">
        <v>916</v>
      </c>
      <c r="H6" s="850"/>
      <c r="I6" s="850"/>
    </row>
    <row r="7" spans="1:12" ht="24" customHeight="1" thickBot="1" x14ac:dyDescent="0.3">
      <c r="A7" s="207" t="s">
        <v>1</v>
      </c>
      <c r="B7" s="820" t="s">
        <v>107</v>
      </c>
      <c r="C7" s="820"/>
      <c r="D7" s="820"/>
      <c r="E7" s="820"/>
    </row>
    <row r="8" spans="1:12" ht="24" customHeight="1" thickBot="1" x14ac:dyDescent="0.3">
      <c r="A8" s="207" t="s">
        <v>0</v>
      </c>
      <c r="B8" s="820" t="s">
        <v>108</v>
      </c>
      <c r="C8" s="820"/>
      <c r="D8" s="820"/>
      <c r="E8" s="820"/>
    </row>
    <row r="9" spans="1:12" ht="54" customHeight="1" x14ac:dyDescent="0.25">
      <c r="A9" s="208" t="s">
        <v>2</v>
      </c>
      <c r="B9" s="854" t="s">
        <v>110</v>
      </c>
      <c r="C9" s="855"/>
      <c r="D9" s="855"/>
      <c r="E9" s="855"/>
      <c r="G9" s="131" t="s">
        <v>230</v>
      </c>
      <c r="H9" s="196" t="s">
        <v>228</v>
      </c>
      <c r="I9" s="131" t="s">
        <v>175</v>
      </c>
      <c r="J9" s="132" t="s">
        <v>226</v>
      </c>
      <c r="K9" s="132" t="s">
        <v>227</v>
      </c>
      <c r="L9" s="197" t="s">
        <v>229</v>
      </c>
    </row>
    <row r="10" spans="1:12" ht="54" customHeight="1" x14ac:dyDescent="0.25">
      <c r="A10" s="208" t="s">
        <v>31</v>
      </c>
      <c r="B10" s="890" t="s">
        <v>764</v>
      </c>
      <c r="C10" s="890"/>
      <c r="D10" s="890"/>
      <c r="E10" s="890"/>
      <c r="G10" s="197">
        <v>100</v>
      </c>
      <c r="H10" s="196">
        <f>G10*1000</f>
        <v>100000</v>
      </c>
      <c r="I10" s="133">
        <v>0.15</v>
      </c>
      <c r="J10" s="196">
        <v>760</v>
      </c>
      <c r="K10" s="196">
        <v>0.36499999999999999</v>
      </c>
      <c r="L10" s="197">
        <f>'[2]ADU-16'!M10</f>
        <v>2.4221000000000004</v>
      </c>
    </row>
    <row r="11" spans="1:12" ht="30" customHeight="1" x14ac:dyDescent="0.25">
      <c r="A11" s="209" t="s">
        <v>16</v>
      </c>
      <c r="B11" s="874" t="s">
        <v>86</v>
      </c>
      <c r="C11" s="874"/>
      <c r="D11" s="874"/>
      <c r="E11" s="874"/>
      <c r="K11" s="37" t="s">
        <v>614</v>
      </c>
      <c r="L11" s="202" t="s">
        <v>613</v>
      </c>
    </row>
    <row r="12" spans="1:12" ht="30" customHeight="1" x14ac:dyDescent="0.25">
      <c r="A12" s="209" t="s">
        <v>3</v>
      </c>
      <c r="B12" s="874"/>
      <c r="C12" s="874"/>
      <c r="D12" s="874"/>
      <c r="E12" s="874"/>
    </row>
    <row r="13" spans="1:12" ht="30" customHeight="1" x14ac:dyDescent="0.25">
      <c r="A13" s="209" t="s">
        <v>17</v>
      </c>
      <c r="B13" s="874"/>
      <c r="C13" s="874"/>
      <c r="D13" s="874"/>
      <c r="E13" s="874"/>
    </row>
    <row r="14" spans="1:12" ht="30" customHeight="1" x14ac:dyDescent="0.25">
      <c r="A14" s="209" t="s">
        <v>4</v>
      </c>
      <c r="B14" s="874">
        <v>2015</v>
      </c>
      <c r="C14" s="874"/>
      <c r="D14" s="874"/>
      <c r="E14" s="874"/>
      <c r="G14" s="25" t="s">
        <v>431</v>
      </c>
    </row>
    <row r="15" spans="1:12" ht="30" customHeight="1" x14ac:dyDescent="0.25">
      <c r="A15" s="209" t="s">
        <v>5</v>
      </c>
      <c r="B15" s="874">
        <v>2020</v>
      </c>
      <c r="C15" s="874"/>
      <c r="D15" s="874"/>
      <c r="E15" s="874"/>
      <c r="G15" s="154" t="s">
        <v>432</v>
      </c>
      <c r="H15" s="154"/>
      <c r="I15" s="154">
        <v>3</v>
      </c>
    </row>
    <row r="16" spans="1:12" ht="30" customHeight="1" x14ac:dyDescent="0.25">
      <c r="A16" s="209" t="s">
        <v>6</v>
      </c>
      <c r="B16" s="845">
        <f>H10*L10+I18*G10/I15</f>
        <v>257810.00000000003</v>
      </c>
      <c r="C16" s="845"/>
      <c r="D16" s="845"/>
      <c r="E16" s="845"/>
      <c r="G16" s="941" t="s">
        <v>433</v>
      </c>
      <c r="H16" s="942"/>
      <c r="I16" s="201">
        <f>I15*L10*1000</f>
        <v>7266.3000000000011</v>
      </c>
    </row>
    <row r="17" spans="1:9" ht="30" customHeight="1" x14ac:dyDescent="0.25">
      <c r="A17" s="209" t="s">
        <v>7</v>
      </c>
      <c r="B17" s="845">
        <f>G10/3*I19</f>
        <v>166643.33333333337</v>
      </c>
      <c r="C17" s="845"/>
      <c r="D17" s="845"/>
      <c r="E17" s="845"/>
      <c r="G17" s="941" t="s">
        <v>434</v>
      </c>
      <c r="H17" s="942"/>
      <c r="I17" s="201">
        <v>2735</v>
      </c>
    </row>
    <row r="18" spans="1:9" ht="30" customHeight="1" x14ac:dyDescent="0.25">
      <c r="A18" s="210" t="s">
        <v>468</v>
      </c>
      <c r="B18" s="868"/>
      <c r="C18" s="869"/>
      <c r="D18" s="869"/>
      <c r="E18" s="869"/>
      <c r="G18" s="154" t="s">
        <v>435</v>
      </c>
      <c r="H18" s="154"/>
      <c r="I18" s="201">
        <v>468</v>
      </c>
    </row>
    <row r="19" spans="1:9" ht="30" customHeight="1" x14ac:dyDescent="0.25">
      <c r="A19" s="238" t="s">
        <v>467</v>
      </c>
      <c r="B19" s="870">
        <f>G10*J10</f>
        <v>76000</v>
      </c>
      <c r="C19" s="871"/>
      <c r="D19" s="871"/>
      <c r="E19" s="871"/>
      <c r="G19" s="943" t="s">
        <v>436</v>
      </c>
      <c r="H19" s="944"/>
      <c r="I19" s="201">
        <f>I16-I17+I18</f>
        <v>4999.3000000000011</v>
      </c>
    </row>
    <row r="20" spans="1:9" ht="30" customHeight="1" x14ac:dyDescent="0.25">
      <c r="A20" s="209" t="s">
        <v>8</v>
      </c>
      <c r="B20" s="845">
        <f>B19*I10</f>
        <v>11400</v>
      </c>
      <c r="C20" s="845"/>
      <c r="D20" s="845"/>
      <c r="E20" s="845"/>
    </row>
    <row r="21" spans="1:9" ht="30" customHeight="1" x14ac:dyDescent="0.25">
      <c r="A21" s="209" t="s">
        <v>9</v>
      </c>
      <c r="B21" s="845">
        <f>B19*I13*65/1000</f>
        <v>0</v>
      </c>
      <c r="C21" s="845"/>
      <c r="D21" s="845"/>
      <c r="E21" s="845"/>
    </row>
    <row r="22" spans="1:9" ht="30" customHeight="1" x14ac:dyDescent="0.25">
      <c r="A22" s="209" t="s">
        <v>465</v>
      </c>
      <c r="B22" s="846">
        <f>B16/(B20+B21)</f>
        <v>22.614912280701756</v>
      </c>
      <c r="C22" s="846"/>
      <c r="D22" s="846"/>
      <c r="E22" s="846"/>
    </row>
    <row r="23" spans="1:9" ht="30" customHeight="1" x14ac:dyDescent="0.25">
      <c r="A23" s="209" t="s">
        <v>466</v>
      </c>
      <c r="B23" s="847">
        <f>(B16-B17)/(B20+B21)</f>
        <v>7.9970760233918119</v>
      </c>
      <c r="C23" s="847"/>
      <c r="D23" s="847"/>
      <c r="E23" s="847"/>
    </row>
    <row r="24" spans="1:9" ht="30" customHeight="1" x14ac:dyDescent="0.25">
      <c r="A24" s="211" t="s">
        <v>476</v>
      </c>
      <c r="B24" s="901">
        <f>G10*J10*K10/1000</f>
        <v>27.74</v>
      </c>
      <c r="C24" s="901"/>
      <c r="D24" s="901"/>
      <c r="E24" s="901"/>
    </row>
    <row r="25" spans="1:9" ht="30" customHeight="1" x14ac:dyDescent="0.25">
      <c r="A25" s="212" t="s">
        <v>463</v>
      </c>
      <c r="B25" s="881">
        <f>B24/'Objectifs CO2'!C15</f>
        <v>2.0098610812647376E-2</v>
      </c>
      <c r="C25" s="881"/>
      <c r="D25" s="881"/>
      <c r="E25" s="881"/>
    </row>
    <row r="26" spans="1:9" ht="30" customHeight="1" x14ac:dyDescent="0.25">
      <c r="A26" s="213" t="s">
        <v>464</v>
      </c>
      <c r="B26" s="881">
        <f>B24/'Objectifs CO2'!C8</f>
        <v>4.0197221625294759E-3</v>
      </c>
      <c r="C26" s="881"/>
      <c r="D26" s="881"/>
      <c r="E26" s="881"/>
    </row>
    <row r="27" spans="1:9" ht="30" customHeight="1" x14ac:dyDescent="0.25">
      <c r="A27" s="213" t="s">
        <v>24</v>
      </c>
      <c r="B27" s="853" t="s">
        <v>10</v>
      </c>
      <c r="C27" s="853"/>
      <c r="D27" s="853"/>
      <c r="E27" s="853"/>
    </row>
    <row r="28" spans="1:9" ht="30" customHeight="1" x14ac:dyDescent="0.25">
      <c r="A28" s="213" t="s">
        <v>418</v>
      </c>
      <c r="B28" s="853" t="s">
        <v>839</v>
      </c>
      <c r="C28" s="853"/>
      <c r="D28" s="853"/>
      <c r="E28" s="853"/>
    </row>
    <row r="30" spans="1:9" x14ac:dyDescent="0.25">
      <c r="B30" s="867" t="s">
        <v>530</v>
      </c>
      <c r="C30" s="867"/>
      <c r="D30" s="867"/>
      <c r="E30" s="143" t="s">
        <v>538</v>
      </c>
    </row>
    <row r="31" spans="1:9" x14ac:dyDescent="0.25">
      <c r="B31" s="864" t="s">
        <v>521</v>
      </c>
      <c r="C31" s="864"/>
      <c r="D31" s="864"/>
      <c r="E31" s="114"/>
      <c r="G31" s="866" t="s">
        <v>538</v>
      </c>
      <c r="H31" s="866"/>
      <c r="I31" s="866"/>
    </row>
    <row r="32" spans="1:9" x14ac:dyDescent="0.25">
      <c r="B32" s="864" t="s">
        <v>522</v>
      </c>
      <c r="C32" s="864"/>
      <c r="D32" s="864"/>
      <c r="E32" s="114"/>
      <c r="G32" s="252">
        <v>3</v>
      </c>
      <c r="H32" s="866" t="s">
        <v>535</v>
      </c>
      <c r="I32" s="866"/>
    </row>
    <row r="33" spans="2:9" x14ac:dyDescent="0.25">
      <c r="B33" s="864" t="s">
        <v>524</v>
      </c>
      <c r="C33" s="864"/>
      <c r="D33" s="864"/>
      <c r="E33" s="114"/>
      <c r="G33" s="252">
        <v>2</v>
      </c>
      <c r="H33" s="866" t="s">
        <v>536</v>
      </c>
      <c r="I33" s="866"/>
    </row>
    <row r="34" spans="2:9" x14ac:dyDescent="0.25">
      <c r="B34" s="864" t="s">
        <v>523</v>
      </c>
      <c r="C34" s="864"/>
      <c r="D34" s="864"/>
      <c r="E34" s="114"/>
      <c r="G34" s="252">
        <v>1</v>
      </c>
      <c r="H34" s="866" t="s">
        <v>537</v>
      </c>
      <c r="I34" s="866"/>
    </row>
    <row r="35" spans="2:9" x14ac:dyDescent="0.25">
      <c r="B35" s="864" t="s">
        <v>525</v>
      </c>
      <c r="C35" s="864"/>
      <c r="D35" s="864"/>
      <c r="E35" s="114"/>
    </row>
    <row r="36" spans="2:9" x14ac:dyDescent="0.25">
      <c r="B36" s="864" t="s">
        <v>526</v>
      </c>
      <c r="C36" s="864"/>
      <c r="D36" s="864"/>
      <c r="E36" s="114"/>
    </row>
    <row r="37" spans="2:9" x14ac:dyDescent="0.25">
      <c r="B37" s="864" t="s">
        <v>527</v>
      </c>
      <c r="C37" s="864"/>
      <c r="D37" s="864"/>
      <c r="E37" s="114"/>
    </row>
    <row r="38" spans="2:9" x14ac:dyDescent="0.25">
      <c r="B38" s="864" t="s">
        <v>528</v>
      </c>
      <c r="C38" s="864"/>
      <c r="D38" s="864"/>
      <c r="E38" s="114"/>
    </row>
    <row r="39" spans="2:9" x14ac:dyDescent="0.25">
      <c r="B39" s="864" t="s">
        <v>529</v>
      </c>
      <c r="C39" s="864"/>
      <c r="D39" s="864"/>
      <c r="E39" s="114"/>
      <c r="G39" s="863" t="s">
        <v>541</v>
      </c>
      <c r="H39" s="863"/>
      <c r="I39" s="863"/>
    </row>
    <row r="40" spans="2:9" x14ac:dyDescent="0.25">
      <c r="B40" s="865" t="s">
        <v>395</v>
      </c>
      <c r="C40" s="865"/>
      <c r="D40" s="865"/>
      <c r="E40" s="258">
        <f>SUM(E31:E39)</f>
        <v>0</v>
      </c>
      <c r="G40" s="254" t="s">
        <v>542</v>
      </c>
      <c r="H40" s="257" t="s">
        <v>543</v>
      </c>
      <c r="I40" s="254" t="s">
        <v>544</v>
      </c>
    </row>
    <row r="41" spans="2:9" x14ac:dyDescent="0.25">
      <c r="E41" s="202" t="s">
        <v>576</v>
      </c>
      <c r="G41" s="254" t="s">
        <v>545</v>
      </c>
      <c r="H41" s="254" t="s">
        <v>547</v>
      </c>
      <c r="I41" s="254" t="s">
        <v>546</v>
      </c>
    </row>
    <row r="43" spans="2:9" x14ac:dyDescent="0.25">
      <c r="B43" s="860" t="s">
        <v>520</v>
      </c>
      <c r="C43" s="861"/>
      <c r="D43" s="862"/>
      <c r="E43" s="251">
        <v>1</v>
      </c>
      <c r="G43" s="254">
        <v>1</v>
      </c>
      <c r="H43" s="254" t="s">
        <v>539</v>
      </c>
    </row>
    <row r="44" spans="2:9" x14ac:dyDescent="0.25">
      <c r="G44" s="254">
        <v>0</v>
      </c>
      <c r="H44" s="254" t="s">
        <v>540</v>
      </c>
    </row>
  </sheetData>
  <mergeCells count="48">
    <mergeCell ref="G6:I6"/>
    <mergeCell ref="B23:E23"/>
    <mergeCell ref="B24:E24"/>
    <mergeCell ref="B22:E22"/>
    <mergeCell ref="B19:E19"/>
    <mergeCell ref="B9:E9"/>
    <mergeCell ref="B11:E11"/>
    <mergeCell ref="B12:E12"/>
    <mergeCell ref="B13:E13"/>
    <mergeCell ref="B14:E14"/>
    <mergeCell ref="A2:E2"/>
    <mergeCell ref="C5:D5"/>
    <mergeCell ref="B7:E7"/>
    <mergeCell ref="B8:E8"/>
    <mergeCell ref="B10:E10"/>
    <mergeCell ref="C4:D4"/>
    <mergeCell ref="G31:I31"/>
    <mergeCell ref="B32:D32"/>
    <mergeCell ref="H32:I32"/>
    <mergeCell ref="B15:E15"/>
    <mergeCell ref="B16:E16"/>
    <mergeCell ref="B17:E17"/>
    <mergeCell ref="B28:E28"/>
    <mergeCell ref="G16:H16"/>
    <mergeCell ref="G17:H17"/>
    <mergeCell ref="G19:H19"/>
    <mergeCell ref="B25:E25"/>
    <mergeCell ref="B26:E26"/>
    <mergeCell ref="B27:E27"/>
    <mergeCell ref="B18:E18"/>
    <mergeCell ref="B20:E20"/>
    <mergeCell ref="B21:E21"/>
    <mergeCell ref="B43:D43"/>
    <mergeCell ref="G4:I4"/>
    <mergeCell ref="G5:I5"/>
    <mergeCell ref="G39:I39"/>
    <mergeCell ref="B36:D36"/>
    <mergeCell ref="B37:D37"/>
    <mergeCell ref="B38:D38"/>
    <mergeCell ref="B39:D39"/>
    <mergeCell ref="B40:D40"/>
    <mergeCell ref="B33:D33"/>
    <mergeCell ref="H33:I33"/>
    <mergeCell ref="B34:D34"/>
    <mergeCell ref="H34:I34"/>
    <mergeCell ref="B35:D35"/>
    <mergeCell ref="B30:D30"/>
    <mergeCell ref="B31:D31"/>
  </mergeCells>
  <conditionalFormatting sqref="E5">
    <cfRule type="containsText" dxfId="125" priority="1" operator="containsText" text="Terminé">
      <formula>NOT(ISERROR(SEARCH("Terminé",E5)))</formula>
    </cfRule>
    <cfRule type="containsText" dxfId="124" priority="2" operator="containsText" text="En cours">
      <formula>NOT(ISERROR(SEARCH("En cours",E5)))</formula>
    </cfRule>
    <cfRule type="containsText" dxfId="123"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 ref="L11" r:id="rId1"/>
  </hyperlinks>
  <pageMargins left="0.7" right="0.7" top="0.75" bottom="0.75" header="0.3" footer="0.3"/>
  <pageSetup paperSize="9" scale="90" orientation="portrait"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4"/>
  <sheetViews>
    <sheetView topLeftCell="B1" zoomScaleNormal="100" zoomScaleSheetLayoutView="220"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2" ht="21" x14ac:dyDescent="0.35">
      <c r="A1" s="11" t="s">
        <v>87</v>
      </c>
      <c r="B1" s="11"/>
      <c r="C1" s="11"/>
      <c r="D1" s="11"/>
      <c r="E1" s="11"/>
    </row>
    <row r="2" spans="1:12" ht="26.25" x14ac:dyDescent="0.4">
      <c r="A2" s="856" t="s">
        <v>913</v>
      </c>
      <c r="B2" s="856"/>
      <c r="C2" s="856"/>
      <c r="D2" s="856"/>
      <c r="E2" s="856"/>
    </row>
    <row r="3" spans="1:12" ht="27" thickBot="1" x14ac:dyDescent="0.45">
      <c r="A3" s="107"/>
      <c r="B3" s="107"/>
      <c r="C3" s="107"/>
      <c r="D3" s="107"/>
      <c r="E3" s="107"/>
    </row>
    <row r="4" spans="1:12" ht="15.75" thickBot="1" x14ac:dyDescent="0.3">
      <c r="A4" s="12"/>
      <c r="B4" s="233" t="s">
        <v>469</v>
      </c>
      <c r="C4" s="851" t="s">
        <v>61</v>
      </c>
      <c r="D4" s="852"/>
      <c r="E4" s="175" t="s">
        <v>114</v>
      </c>
      <c r="G4" s="848" t="s">
        <v>914</v>
      </c>
      <c r="H4" s="848"/>
      <c r="I4" s="848"/>
    </row>
    <row r="5" spans="1:12" ht="18.75" customHeight="1" x14ac:dyDescent="0.25">
      <c r="A5" s="381" t="s">
        <v>651</v>
      </c>
      <c r="B5" s="382" t="s">
        <v>652</v>
      </c>
      <c r="C5" s="820" t="s">
        <v>18</v>
      </c>
      <c r="D5" s="820"/>
      <c r="E5" s="232" t="s">
        <v>19</v>
      </c>
      <c r="G5" s="848" t="s">
        <v>915</v>
      </c>
      <c r="H5" s="848"/>
      <c r="I5" s="848"/>
    </row>
    <row r="6" spans="1:12" ht="16.5" thickBot="1" x14ac:dyDescent="0.3">
      <c r="A6" s="379" t="s">
        <v>660</v>
      </c>
      <c r="B6" s="380" t="s">
        <v>28</v>
      </c>
      <c r="C6" s="16"/>
      <c r="D6" s="16"/>
      <c r="E6" s="16"/>
      <c r="G6" s="850" t="s">
        <v>916</v>
      </c>
      <c r="H6" s="850"/>
      <c r="I6" s="850"/>
    </row>
    <row r="7" spans="1:12" ht="24" customHeight="1" thickBot="1" x14ac:dyDescent="0.3">
      <c r="A7" s="207" t="s">
        <v>1</v>
      </c>
      <c r="B7" s="820" t="s">
        <v>111</v>
      </c>
      <c r="C7" s="820"/>
      <c r="D7" s="820"/>
      <c r="E7" s="820"/>
    </row>
    <row r="8" spans="1:12" ht="24" customHeight="1" thickBot="1" x14ac:dyDescent="0.3">
      <c r="A8" s="207" t="s">
        <v>0</v>
      </c>
      <c r="B8" s="820" t="s">
        <v>112</v>
      </c>
      <c r="C8" s="820"/>
      <c r="D8" s="820"/>
      <c r="E8" s="820"/>
    </row>
    <row r="9" spans="1:12" ht="39" customHeight="1" x14ac:dyDescent="0.25">
      <c r="A9" s="208" t="s">
        <v>2</v>
      </c>
      <c r="B9" s="854" t="s">
        <v>115</v>
      </c>
      <c r="C9" s="855"/>
      <c r="D9" s="855"/>
      <c r="E9" s="855"/>
      <c r="G9" s="131" t="s">
        <v>230</v>
      </c>
      <c r="H9" s="196" t="s">
        <v>228</v>
      </c>
      <c r="I9" s="131" t="s">
        <v>175</v>
      </c>
      <c r="J9" s="132" t="s">
        <v>226</v>
      </c>
      <c r="K9" s="132" t="s">
        <v>227</v>
      </c>
      <c r="L9" s="197" t="s">
        <v>229</v>
      </c>
    </row>
    <row r="10" spans="1:12" ht="22.5" customHeight="1" x14ac:dyDescent="0.25">
      <c r="A10" s="208" t="s">
        <v>31</v>
      </c>
      <c r="B10" s="889" t="s">
        <v>749</v>
      </c>
      <c r="C10" s="889"/>
      <c r="D10" s="889"/>
      <c r="E10" s="889"/>
      <c r="G10" s="197">
        <v>1000</v>
      </c>
      <c r="H10" s="196">
        <f>G10*1000</f>
        <v>1000000</v>
      </c>
      <c r="I10" s="197">
        <v>0.15</v>
      </c>
      <c r="J10" s="196">
        <v>850</v>
      </c>
      <c r="K10" s="196">
        <v>0.36499999999999999</v>
      </c>
      <c r="L10" s="197">
        <f>2.285*1.21</f>
        <v>2.76485</v>
      </c>
    </row>
    <row r="11" spans="1:12" ht="30" customHeight="1" x14ac:dyDescent="0.25">
      <c r="A11" s="209" t="s">
        <v>16</v>
      </c>
      <c r="B11" s="874" t="s">
        <v>61</v>
      </c>
      <c r="C11" s="874"/>
      <c r="D11" s="874"/>
      <c r="E11" s="874"/>
      <c r="K11" s="37" t="s">
        <v>614</v>
      </c>
      <c r="L11" s="202" t="s">
        <v>613</v>
      </c>
    </row>
    <row r="12" spans="1:12" ht="30" customHeight="1" x14ac:dyDescent="0.25">
      <c r="A12" s="209" t="s">
        <v>3</v>
      </c>
      <c r="B12" s="874"/>
      <c r="C12" s="874"/>
      <c r="D12" s="874"/>
      <c r="E12" s="874"/>
      <c r="G12" s="202" t="s">
        <v>437</v>
      </c>
      <c r="J12" s="37" t="s">
        <v>616</v>
      </c>
    </row>
    <row r="13" spans="1:12" ht="30" customHeight="1" x14ac:dyDescent="0.25">
      <c r="A13" s="209" t="s">
        <v>17</v>
      </c>
      <c r="B13" s="874"/>
      <c r="C13" s="874"/>
      <c r="D13" s="874"/>
      <c r="E13" s="874"/>
      <c r="G13" s="37" t="s">
        <v>438</v>
      </c>
      <c r="I13" s="37">
        <v>2.4</v>
      </c>
      <c r="J13" s="202" t="s">
        <v>615</v>
      </c>
    </row>
    <row r="14" spans="1:12" ht="30" customHeight="1" x14ac:dyDescent="0.25">
      <c r="A14" s="209" t="s">
        <v>4</v>
      </c>
      <c r="B14" s="874">
        <v>2015</v>
      </c>
      <c r="C14" s="874"/>
      <c r="D14" s="874"/>
      <c r="E14" s="874"/>
    </row>
    <row r="15" spans="1:12" ht="30" customHeight="1" x14ac:dyDescent="0.25">
      <c r="A15" s="209" t="s">
        <v>5</v>
      </c>
      <c r="B15" s="874">
        <v>2020</v>
      </c>
      <c r="C15" s="874"/>
      <c r="D15" s="874"/>
      <c r="E15" s="874"/>
      <c r="G15" s="947" t="s">
        <v>439</v>
      </c>
      <c r="H15" s="947"/>
      <c r="I15" s="947"/>
      <c r="J15" s="947"/>
      <c r="K15" s="947"/>
    </row>
    <row r="16" spans="1:12" ht="30" customHeight="1" x14ac:dyDescent="0.25">
      <c r="A16" s="209" t="s">
        <v>6</v>
      </c>
      <c r="B16" s="845">
        <f>H10*L10</f>
        <v>2764850</v>
      </c>
      <c r="C16" s="845"/>
      <c r="D16" s="845"/>
      <c r="E16" s="845"/>
      <c r="G16" s="947"/>
      <c r="H16" s="947"/>
      <c r="I16" s="947"/>
      <c r="J16" s="947"/>
      <c r="K16" s="947"/>
    </row>
    <row r="17" spans="1:9" ht="30" customHeight="1" x14ac:dyDescent="0.25">
      <c r="A17" s="209" t="s">
        <v>7</v>
      </c>
      <c r="B17" s="845"/>
      <c r="C17" s="845"/>
      <c r="D17" s="845"/>
      <c r="E17" s="845"/>
    </row>
    <row r="18" spans="1:9" ht="30" customHeight="1" x14ac:dyDescent="0.25">
      <c r="A18" s="210" t="s">
        <v>468</v>
      </c>
      <c r="B18" s="868"/>
      <c r="C18" s="869"/>
      <c r="D18" s="869"/>
      <c r="E18" s="869"/>
    </row>
    <row r="19" spans="1:9" ht="30" customHeight="1" x14ac:dyDescent="0.25">
      <c r="A19" s="238" t="s">
        <v>467</v>
      </c>
      <c r="B19" s="870">
        <f>G10*J10</f>
        <v>850000</v>
      </c>
      <c r="C19" s="871"/>
      <c r="D19" s="871"/>
      <c r="E19" s="871"/>
    </row>
    <row r="20" spans="1:9" ht="30" customHeight="1" x14ac:dyDescent="0.25">
      <c r="A20" s="209" t="s">
        <v>8</v>
      </c>
      <c r="B20" s="845">
        <f>B19*I10</f>
        <v>127500</v>
      </c>
      <c r="C20" s="845"/>
      <c r="D20" s="845"/>
      <c r="E20" s="845"/>
    </row>
    <row r="21" spans="1:9" ht="30" customHeight="1" x14ac:dyDescent="0.25">
      <c r="A21" s="209" t="s">
        <v>9</v>
      </c>
      <c r="B21" s="845">
        <f>B19*I13*65/1000</f>
        <v>132600</v>
      </c>
      <c r="C21" s="845"/>
      <c r="D21" s="845"/>
      <c r="E21" s="845"/>
    </row>
    <row r="22" spans="1:9" ht="30" customHeight="1" x14ac:dyDescent="0.25">
      <c r="A22" s="209" t="s">
        <v>465</v>
      </c>
      <c r="B22" s="846">
        <f>B16/(B20+B21)</f>
        <v>10.629950019223376</v>
      </c>
      <c r="C22" s="846"/>
      <c r="D22" s="846"/>
      <c r="E22" s="846"/>
    </row>
    <row r="23" spans="1:9" ht="30" customHeight="1" x14ac:dyDescent="0.25">
      <c r="A23" s="209" t="s">
        <v>466</v>
      </c>
      <c r="B23" s="847">
        <f>(B16-B17)/(B20+B21)</f>
        <v>10.629950019223376</v>
      </c>
      <c r="C23" s="847"/>
      <c r="D23" s="847"/>
      <c r="E23" s="847"/>
    </row>
    <row r="24" spans="1:9" ht="30" customHeight="1" x14ac:dyDescent="0.25">
      <c r="A24" s="211" t="s">
        <v>476</v>
      </c>
      <c r="B24" s="901">
        <f>G10*J10*K10/1000</f>
        <v>310.25</v>
      </c>
      <c r="C24" s="901"/>
      <c r="D24" s="901"/>
      <c r="E24" s="901"/>
    </row>
    <row r="25" spans="1:9" ht="30" customHeight="1" x14ac:dyDescent="0.25">
      <c r="A25" s="212" t="s">
        <v>463</v>
      </c>
      <c r="B25" s="881">
        <f>B24/'Objectifs CO2'!C11</f>
        <v>0.44957418923027032</v>
      </c>
      <c r="C25" s="881"/>
      <c r="D25" s="881"/>
      <c r="E25" s="881"/>
    </row>
    <row r="26" spans="1:9" ht="30" customHeight="1" x14ac:dyDescent="0.25">
      <c r="A26" s="213" t="s">
        <v>464</v>
      </c>
      <c r="B26" s="881">
        <f>B24/'Objectifs CO2'!C8</f>
        <v>4.4957418923027029E-2</v>
      </c>
      <c r="C26" s="881"/>
      <c r="D26" s="881"/>
      <c r="E26" s="881"/>
    </row>
    <row r="27" spans="1:9" ht="30" customHeight="1" x14ac:dyDescent="0.25">
      <c r="A27" s="213" t="s">
        <v>24</v>
      </c>
      <c r="B27" s="853" t="s">
        <v>10</v>
      </c>
      <c r="C27" s="853"/>
      <c r="D27" s="853"/>
      <c r="E27" s="853"/>
    </row>
    <row r="28" spans="1:9" ht="30" customHeight="1" x14ac:dyDescent="0.25">
      <c r="A28" s="213" t="s">
        <v>418</v>
      </c>
      <c r="B28" s="853" t="s">
        <v>441</v>
      </c>
      <c r="C28" s="853"/>
      <c r="D28" s="853"/>
      <c r="E28" s="853"/>
    </row>
    <row r="30" spans="1:9" x14ac:dyDescent="0.25">
      <c r="B30" s="867" t="s">
        <v>530</v>
      </c>
      <c r="C30" s="867"/>
      <c r="D30" s="867"/>
      <c r="E30" s="143" t="s">
        <v>538</v>
      </c>
    </row>
    <row r="31" spans="1:9" x14ac:dyDescent="0.25">
      <c r="B31" s="864" t="s">
        <v>521</v>
      </c>
      <c r="C31" s="864"/>
      <c r="D31" s="864"/>
      <c r="E31" s="114"/>
      <c r="G31" s="866" t="s">
        <v>538</v>
      </c>
      <c r="H31" s="866"/>
      <c r="I31" s="866"/>
    </row>
    <row r="32" spans="1:9" x14ac:dyDescent="0.25">
      <c r="B32" s="864" t="s">
        <v>522</v>
      </c>
      <c r="C32" s="864"/>
      <c r="D32" s="864"/>
      <c r="E32" s="114"/>
      <c r="G32" s="252">
        <v>3</v>
      </c>
      <c r="H32" s="866" t="s">
        <v>535</v>
      </c>
      <c r="I32" s="866"/>
    </row>
    <row r="33" spans="2:9" x14ac:dyDescent="0.25">
      <c r="B33" s="864" t="s">
        <v>524</v>
      </c>
      <c r="C33" s="864"/>
      <c r="D33" s="864"/>
      <c r="E33" s="114"/>
      <c r="G33" s="252">
        <v>2</v>
      </c>
      <c r="H33" s="866" t="s">
        <v>536</v>
      </c>
      <c r="I33" s="866"/>
    </row>
    <row r="34" spans="2:9" x14ac:dyDescent="0.25">
      <c r="B34" s="864" t="s">
        <v>523</v>
      </c>
      <c r="C34" s="864"/>
      <c r="D34" s="864"/>
      <c r="E34" s="114"/>
      <c r="G34" s="252">
        <v>1</v>
      </c>
      <c r="H34" s="866" t="s">
        <v>537</v>
      </c>
      <c r="I34" s="866"/>
    </row>
    <row r="35" spans="2:9" x14ac:dyDescent="0.25">
      <c r="B35" s="864" t="s">
        <v>525</v>
      </c>
      <c r="C35" s="864"/>
      <c r="D35" s="864"/>
      <c r="E35" s="114"/>
    </row>
    <row r="36" spans="2:9" x14ac:dyDescent="0.25">
      <c r="B36" s="864" t="s">
        <v>526</v>
      </c>
      <c r="C36" s="864"/>
      <c r="D36" s="864"/>
      <c r="E36" s="114"/>
    </row>
    <row r="37" spans="2:9" x14ac:dyDescent="0.25">
      <c r="B37" s="864" t="s">
        <v>527</v>
      </c>
      <c r="C37" s="864"/>
      <c r="D37" s="864"/>
      <c r="E37" s="114"/>
    </row>
    <row r="38" spans="2:9" x14ac:dyDescent="0.25">
      <c r="B38" s="864" t="s">
        <v>528</v>
      </c>
      <c r="C38" s="864"/>
      <c r="D38" s="864"/>
      <c r="E38" s="114"/>
    </row>
    <row r="39" spans="2:9" x14ac:dyDescent="0.25">
      <c r="B39" s="864" t="s">
        <v>529</v>
      </c>
      <c r="C39" s="864"/>
      <c r="D39" s="864"/>
      <c r="E39" s="114"/>
      <c r="G39" s="863" t="s">
        <v>541</v>
      </c>
      <c r="H39" s="863"/>
      <c r="I39" s="863"/>
    </row>
    <row r="40" spans="2:9" x14ac:dyDescent="0.25">
      <c r="B40" s="865" t="s">
        <v>395</v>
      </c>
      <c r="C40" s="865"/>
      <c r="D40" s="865"/>
      <c r="E40" s="258">
        <f>SUM(E31:E39)</f>
        <v>0</v>
      </c>
      <c r="G40" s="254" t="s">
        <v>542</v>
      </c>
      <c r="H40" s="257" t="s">
        <v>543</v>
      </c>
      <c r="I40" s="254" t="s">
        <v>544</v>
      </c>
    </row>
    <row r="41" spans="2:9" x14ac:dyDescent="0.25">
      <c r="E41" s="202" t="s">
        <v>576</v>
      </c>
      <c r="G41" s="254" t="s">
        <v>545</v>
      </c>
      <c r="H41" s="254" t="s">
        <v>547</v>
      </c>
      <c r="I41" s="254" t="s">
        <v>546</v>
      </c>
    </row>
    <row r="43" spans="2:9" x14ac:dyDescent="0.25">
      <c r="B43" s="860" t="s">
        <v>520</v>
      </c>
      <c r="C43" s="861"/>
      <c r="D43" s="862"/>
      <c r="E43" s="251">
        <v>1</v>
      </c>
      <c r="G43" s="254">
        <v>1</v>
      </c>
      <c r="H43" s="254" t="s">
        <v>539</v>
      </c>
    </row>
    <row r="44" spans="2:9" x14ac:dyDescent="0.25">
      <c r="G44" s="254">
        <v>0</v>
      </c>
      <c r="H44" s="254" t="s">
        <v>540</v>
      </c>
    </row>
  </sheetData>
  <mergeCells count="46">
    <mergeCell ref="A2:E2"/>
    <mergeCell ref="C5:D5"/>
    <mergeCell ref="B7:E7"/>
    <mergeCell ref="B8:E8"/>
    <mergeCell ref="G31:I31"/>
    <mergeCell ref="G6:I6"/>
    <mergeCell ref="B23:E23"/>
    <mergeCell ref="B24:E24"/>
    <mergeCell ref="B22:E22"/>
    <mergeCell ref="B19:E19"/>
    <mergeCell ref="B15:E15"/>
    <mergeCell ref="B16:E16"/>
    <mergeCell ref="B17:E17"/>
    <mergeCell ref="B9:E9"/>
    <mergeCell ref="C4:D4"/>
    <mergeCell ref="B32:D32"/>
    <mergeCell ref="H32:I32"/>
    <mergeCell ref="B10:E10"/>
    <mergeCell ref="B11:E11"/>
    <mergeCell ref="B12:E12"/>
    <mergeCell ref="B13:E13"/>
    <mergeCell ref="B14:E14"/>
    <mergeCell ref="G15:K16"/>
    <mergeCell ref="B28:E28"/>
    <mergeCell ref="B25:E25"/>
    <mergeCell ref="B26:E26"/>
    <mergeCell ref="B27:E27"/>
    <mergeCell ref="B18:E18"/>
    <mergeCell ref="B20:E20"/>
    <mergeCell ref="B21:E21"/>
    <mergeCell ref="B43:D43"/>
    <mergeCell ref="G4:I4"/>
    <mergeCell ref="G5:I5"/>
    <mergeCell ref="G39:I39"/>
    <mergeCell ref="B36:D36"/>
    <mergeCell ref="B37:D37"/>
    <mergeCell ref="B38:D38"/>
    <mergeCell ref="B39:D39"/>
    <mergeCell ref="B40:D40"/>
    <mergeCell ref="B33:D33"/>
    <mergeCell ref="H33:I33"/>
    <mergeCell ref="B34:D34"/>
    <mergeCell ref="H34:I34"/>
    <mergeCell ref="B35:D35"/>
    <mergeCell ref="B30:D30"/>
    <mergeCell ref="B31:D31"/>
  </mergeCells>
  <conditionalFormatting sqref="E5">
    <cfRule type="containsText" dxfId="122" priority="1" operator="containsText" text="Terminé">
      <formula>NOT(ISERROR(SEARCH("Terminé",E5)))</formula>
    </cfRule>
    <cfRule type="containsText" dxfId="121" priority="2" operator="containsText" text="En cours">
      <formula>NOT(ISERROR(SEARCH("En cours",E5)))</formula>
    </cfRule>
    <cfRule type="containsText" dxfId="120" priority="3" operator="containsText" text="A faire">
      <formula>NOT(ISERROR(SEARCH("A faire",E5)))</formula>
    </cfRule>
  </conditionalFormatting>
  <hyperlinks>
    <hyperlink ref="G12" r:id="rId1"/>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 ref="J13" r:id="rId2"/>
    <hyperlink ref="L11" r:id="rId3"/>
  </hyperlinks>
  <pageMargins left="0.7" right="0.7" top="0.75" bottom="0.75" header="0.3" footer="0.3"/>
  <pageSetup paperSize="9" scale="90" orientation="portrait" r:id="rId4"/>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4"/>
  <sheetViews>
    <sheetView topLeftCell="B1" zoomScaleNormal="100" zoomScaleSheetLayoutView="220"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2" ht="21" x14ac:dyDescent="0.35">
      <c r="A1" s="11" t="s">
        <v>87</v>
      </c>
      <c r="B1" s="11"/>
      <c r="C1" s="11"/>
      <c r="D1" s="11"/>
      <c r="E1" s="11"/>
    </row>
    <row r="2" spans="1:12" ht="26.25" x14ac:dyDescent="0.4">
      <c r="A2" s="856" t="s">
        <v>913</v>
      </c>
      <c r="B2" s="856"/>
      <c r="C2" s="856"/>
      <c r="D2" s="856"/>
      <c r="E2" s="856"/>
    </row>
    <row r="3" spans="1:12" ht="27" thickBot="1" x14ac:dyDescent="0.45">
      <c r="A3" s="107"/>
      <c r="B3" s="107"/>
      <c r="C3" s="107"/>
      <c r="D3" s="107"/>
      <c r="E3" s="107"/>
    </row>
    <row r="4" spans="1:12" ht="15.75" thickBot="1" x14ac:dyDescent="0.3">
      <c r="A4" s="12"/>
      <c r="B4" s="233" t="s">
        <v>469</v>
      </c>
      <c r="C4" s="851" t="s">
        <v>39</v>
      </c>
      <c r="D4" s="852"/>
      <c r="E4" s="175" t="s">
        <v>118</v>
      </c>
      <c r="G4" s="848" t="s">
        <v>914</v>
      </c>
      <c r="H4" s="848"/>
      <c r="I4" s="848"/>
    </row>
    <row r="5" spans="1:12" ht="18.75" customHeight="1" x14ac:dyDescent="0.25">
      <c r="A5" s="381" t="s">
        <v>651</v>
      </c>
      <c r="B5" s="382" t="s">
        <v>654</v>
      </c>
      <c r="C5" s="820" t="s">
        <v>18</v>
      </c>
      <c r="D5" s="820"/>
      <c r="E5" s="232" t="s">
        <v>19</v>
      </c>
      <c r="G5" s="848" t="s">
        <v>915</v>
      </c>
      <c r="H5" s="848"/>
      <c r="I5" s="848"/>
    </row>
    <row r="6" spans="1:12" ht="16.5" thickBot="1" x14ac:dyDescent="0.3">
      <c r="A6" s="379" t="s">
        <v>660</v>
      </c>
      <c r="B6" s="380" t="s">
        <v>28</v>
      </c>
      <c r="C6" s="16"/>
      <c r="D6" s="16"/>
      <c r="E6" s="16"/>
      <c r="G6" s="850" t="s">
        <v>916</v>
      </c>
      <c r="H6" s="850"/>
      <c r="I6" s="850"/>
    </row>
    <row r="7" spans="1:12" ht="24" customHeight="1" thickBot="1" x14ac:dyDescent="0.3">
      <c r="A7" s="207" t="s">
        <v>1</v>
      </c>
      <c r="B7" s="820" t="s">
        <v>116</v>
      </c>
      <c r="C7" s="820"/>
      <c r="D7" s="820"/>
      <c r="E7" s="820"/>
    </row>
    <row r="8" spans="1:12" ht="24" customHeight="1" thickBot="1" x14ac:dyDescent="0.3">
      <c r="A8" s="207" t="s">
        <v>0</v>
      </c>
      <c r="B8" s="820" t="s">
        <v>117</v>
      </c>
      <c r="C8" s="820"/>
      <c r="D8" s="820"/>
      <c r="E8" s="820"/>
    </row>
    <row r="9" spans="1:12" ht="33.75" customHeight="1" x14ac:dyDescent="0.25">
      <c r="A9" s="208" t="s">
        <v>2</v>
      </c>
      <c r="B9" s="854" t="s">
        <v>110</v>
      </c>
      <c r="C9" s="855"/>
      <c r="D9" s="855"/>
      <c r="E9" s="855"/>
      <c r="G9" s="131" t="s">
        <v>230</v>
      </c>
      <c r="H9" s="196" t="s">
        <v>228</v>
      </c>
      <c r="I9" s="131" t="s">
        <v>175</v>
      </c>
      <c r="J9" s="132" t="s">
        <v>226</v>
      </c>
      <c r="K9" s="132" t="s">
        <v>227</v>
      </c>
      <c r="L9" s="197" t="s">
        <v>229</v>
      </c>
    </row>
    <row r="10" spans="1:12" ht="31.5" customHeight="1" x14ac:dyDescent="0.25">
      <c r="A10" s="208" t="s">
        <v>31</v>
      </c>
      <c r="B10" s="890" t="s">
        <v>750</v>
      </c>
      <c r="C10" s="890"/>
      <c r="D10" s="890"/>
      <c r="E10" s="890"/>
      <c r="G10" s="197">
        <v>100</v>
      </c>
      <c r="H10" s="196">
        <f>G10*1000</f>
        <v>100000</v>
      </c>
      <c r="I10" s="197">
        <v>0.15</v>
      </c>
      <c r="J10" s="196">
        <v>850</v>
      </c>
      <c r="K10" s="196">
        <v>0.36499999999999999</v>
      </c>
      <c r="L10" s="197">
        <f>2.285*1.21</f>
        <v>2.76485</v>
      </c>
    </row>
    <row r="11" spans="1:12" ht="30" customHeight="1" x14ac:dyDescent="0.25">
      <c r="A11" s="209" t="s">
        <v>16</v>
      </c>
      <c r="B11" s="874" t="s">
        <v>39</v>
      </c>
      <c r="C11" s="874"/>
      <c r="D11" s="874"/>
      <c r="E11" s="874"/>
      <c r="K11" s="37" t="s">
        <v>614</v>
      </c>
      <c r="L11" s="202" t="s">
        <v>613</v>
      </c>
    </row>
    <row r="12" spans="1:12" ht="30" customHeight="1" x14ac:dyDescent="0.25">
      <c r="A12" s="209" t="s">
        <v>3</v>
      </c>
      <c r="B12" s="874"/>
      <c r="C12" s="874"/>
      <c r="D12" s="874"/>
      <c r="E12" s="874"/>
      <c r="J12" s="37" t="s">
        <v>616</v>
      </c>
    </row>
    <row r="13" spans="1:12" ht="30" customHeight="1" x14ac:dyDescent="0.25">
      <c r="A13" s="209" t="s">
        <v>17</v>
      </c>
      <c r="B13" s="874"/>
      <c r="C13" s="874"/>
      <c r="D13" s="874"/>
      <c r="E13" s="874"/>
      <c r="G13" s="37" t="s">
        <v>438</v>
      </c>
      <c r="I13" s="37">
        <v>2.4</v>
      </c>
      <c r="J13" s="202" t="s">
        <v>615</v>
      </c>
    </row>
    <row r="14" spans="1:12" ht="30" customHeight="1" x14ac:dyDescent="0.25">
      <c r="A14" s="209" t="s">
        <v>4</v>
      </c>
      <c r="B14" s="874">
        <v>2015</v>
      </c>
      <c r="C14" s="874"/>
      <c r="D14" s="874"/>
      <c r="E14" s="874"/>
    </row>
    <row r="15" spans="1:12" ht="30" customHeight="1" x14ac:dyDescent="0.25">
      <c r="A15" s="209" t="s">
        <v>5</v>
      </c>
      <c r="B15" s="874">
        <v>2020</v>
      </c>
      <c r="C15" s="874"/>
      <c r="D15" s="874"/>
      <c r="E15" s="874"/>
      <c r="G15" s="947"/>
      <c r="H15" s="947"/>
      <c r="I15" s="947"/>
      <c r="J15" s="947"/>
      <c r="K15" s="947"/>
    </row>
    <row r="16" spans="1:12" ht="30" customHeight="1" x14ac:dyDescent="0.25">
      <c r="A16" s="209" t="s">
        <v>6</v>
      </c>
      <c r="B16" s="845">
        <f>H10*L10</f>
        <v>276485</v>
      </c>
      <c r="C16" s="845"/>
      <c r="D16" s="845"/>
      <c r="E16" s="845"/>
      <c r="G16" s="947"/>
      <c r="H16" s="947"/>
      <c r="I16" s="947"/>
      <c r="J16" s="947"/>
      <c r="K16" s="947"/>
    </row>
    <row r="17" spans="1:11" ht="30" customHeight="1" x14ac:dyDescent="0.25">
      <c r="A17" s="209" t="s">
        <v>7</v>
      </c>
      <c r="B17" s="845"/>
      <c r="C17" s="845"/>
      <c r="D17" s="845"/>
      <c r="E17" s="845"/>
      <c r="G17" s="947"/>
      <c r="H17" s="947"/>
      <c r="I17" s="947"/>
      <c r="J17" s="947"/>
      <c r="K17" s="947"/>
    </row>
    <row r="18" spans="1:11" ht="30" customHeight="1" x14ac:dyDescent="0.25">
      <c r="A18" s="210" t="s">
        <v>468</v>
      </c>
      <c r="B18" s="868"/>
      <c r="C18" s="869"/>
      <c r="D18" s="869"/>
      <c r="E18" s="869"/>
    </row>
    <row r="19" spans="1:11" ht="30" customHeight="1" x14ac:dyDescent="0.25">
      <c r="A19" s="238" t="s">
        <v>467</v>
      </c>
      <c r="B19" s="870">
        <f>G10*J10</f>
        <v>85000</v>
      </c>
      <c r="C19" s="871"/>
      <c r="D19" s="871"/>
      <c r="E19" s="871"/>
    </row>
    <row r="20" spans="1:11" ht="30" customHeight="1" x14ac:dyDescent="0.25">
      <c r="A20" s="209" t="s">
        <v>8</v>
      </c>
      <c r="B20" s="845">
        <f>B19*I10</f>
        <v>12750</v>
      </c>
      <c r="C20" s="845"/>
      <c r="D20" s="845"/>
      <c r="E20" s="845"/>
    </row>
    <row r="21" spans="1:11" ht="30" customHeight="1" x14ac:dyDescent="0.25">
      <c r="A21" s="209" t="s">
        <v>9</v>
      </c>
      <c r="B21" s="845">
        <f>B19*I13*65/1000</f>
        <v>13260</v>
      </c>
      <c r="C21" s="845"/>
      <c r="D21" s="845"/>
      <c r="E21" s="845"/>
    </row>
    <row r="22" spans="1:11" ht="30" customHeight="1" x14ac:dyDescent="0.25">
      <c r="A22" s="209" t="s">
        <v>465</v>
      </c>
      <c r="B22" s="846">
        <f>B16/(B20+B21)</f>
        <v>10.629950019223376</v>
      </c>
      <c r="C22" s="846"/>
      <c r="D22" s="846"/>
      <c r="E22" s="846"/>
    </row>
    <row r="23" spans="1:11" ht="30" customHeight="1" x14ac:dyDescent="0.25">
      <c r="A23" s="209" t="s">
        <v>466</v>
      </c>
      <c r="B23" s="847">
        <f>(B16-B17)/(B20+B21)</f>
        <v>10.629950019223376</v>
      </c>
      <c r="C23" s="847"/>
      <c r="D23" s="847"/>
      <c r="E23" s="847"/>
    </row>
    <row r="24" spans="1:11" ht="30" customHeight="1" x14ac:dyDescent="0.25">
      <c r="A24" s="211" t="s">
        <v>476</v>
      </c>
      <c r="B24" s="901">
        <f>G10*J10*K10/1000</f>
        <v>31.024999999999999</v>
      </c>
      <c r="C24" s="901"/>
      <c r="D24" s="901"/>
      <c r="E24" s="901"/>
    </row>
    <row r="25" spans="1:11" ht="30" customHeight="1" x14ac:dyDescent="0.25">
      <c r="A25" s="212" t="s">
        <v>463</v>
      </c>
      <c r="B25" s="881">
        <f>B24/'Objectifs CO2'!C10</f>
        <v>4.4957418923027029E-2</v>
      </c>
      <c r="C25" s="881"/>
      <c r="D25" s="881"/>
      <c r="E25" s="881"/>
    </row>
    <row r="26" spans="1:11" ht="30" customHeight="1" x14ac:dyDescent="0.25">
      <c r="A26" s="213" t="s">
        <v>464</v>
      </c>
      <c r="B26" s="881">
        <f>B24/'Objectifs CO2'!C8</f>
        <v>4.4957418923027032E-3</v>
      </c>
      <c r="C26" s="881"/>
      <c r="D26" s="881"/>
      <c r="E26" s="881"/>
    </row>
    <row r="27" spans="1:11" ht="30" customHeight="1" x14ac:dyDescent="0.25">
      <c r="A27" s="213" t="s">
        <v>24</v>
      </c>
      <c r="B27" s="853" t="s">
        <v>10</v>
      </c>
      <c r="C27" s="853"/>
      <c r="D27" s="853"/>
      <c r="E27" s="853"/>
    </row>
    <row r="28" spans="1:11" ht="30" customHeight="1" x14ac:dyDescent="0.25">
      <c r="A28" s="213" t="s">
        <v>418</v>
      </c>
      <c r="B28" s="853" t="s">
        <v>840</v>
      </c>
      <c r="C28" s="853"/>
      <c r="D28" s="853"/>
      <c r="E28" s="853"/>
      <c r="G28" s="37" t="s">
        <v>429</v>
      </c>
    </row>
    <row r="30" spans="1:11" x14ac:dyDescent="0.25">
      <c r="B30" s="867" t="s">
        <v>530</v>
      </c>
      <c r="C30" s="867"/>
      <c r="D30" s="867"/>
      <c r="E30" s="143" t="s">
        <v>538</v>
      </c>
    </row>
    <row r="31" spans="1:11" x14ac:dyDescent="0.25">
      <c r="B31" s="864" t="s">
        <v>521</v>
      </c>
      <c r="C31" s="864"/>
      <c r="D31" s="864"/>
      <c r="E31" s="114"/>
      <c r="G31" s="866" t="s">
        <v>538</v>
      </c>
      <c r="H31" s="866"/>
      <c r="I31" s="866"/>
    </row>
    <row r="32" spans="1:11" x14ac:dyDescent="0.25">
      <c r="B32" s="864" t="s">
        <v>522</v>
      </c>
      <c r="C32" s="864"/>
      <c r="D32" s="864"/>
      <c r="E32" s="114"/>
      <c r="G32" s="252">
        <v>3</v>
      </c>
      <c r="H32" s="866" t="s">
        <v>535</v>
      </c>
      <c r="I32" s="866"/>
    </row>
    <row r="33" spans="2:9" x14ac:dyDescent="0.25">
      <c r="B33" s="864" t="s">
        <v>524</v>
      </c>
      <c r="C33" s="864"/>
      <c r="D33" s="864"/>
      <c r="E33" s="114"/>
      <c r="G33" s="252">
        <v>2</v>
      </c>
      <c r="H33" s="866" t="s">
        <v>536</v>
      </c>
      <c r="I33" s="866"/>
    </row>
    <row r="34" spans="2:9" x14ac:dyDescent="0.25">
      <c r="B34" s="864" t="s">
        <v>523</v>
      </c>
      <c r="C34" s="864"/>
      <c r="D34" s="864"/>
      <c r="E34" s="114"/>
      <c r="G34" s="252">
        <v>1</v>
      </c>
      <c r="H34" s="866" t="s">
        <v>537</v>
      </c>
      <c r="I34" s="866"/>
    </row>
    <row r="35" spans="2:9" x14ac:dyDescent="0.25">
      <c r="B35" s="864" t="s">
        <v>525</v>
      </c>
      <c r="C35" s="864"/>
      <c r="D35" s="864"/>
      <c r="E35" s="114"/>
    </row>
    <row r="36" spans="2:9" x14ac:dyDescent="0.25">
      <c r="B36" s="864" t="s">
        <v>526</v>
      </c>
      <c r="C36" s="864"/>
      <c r="D36" s="864"/>
      <c r="E36" s="114"/>
    </row>
    <row r="37" spans="2:9" x14ac:dyDescent="0.25">
      <c r="B37" s="864" t="s">
        <v>527</v>
      </c>
      <c r="C37" s="864"/>
      <c r="D37" s="864"/>
      <c r="E37" s="114"/>
    </row>
    <row r="38" spans="2:9" x14ac:dyDescent="0.25">
      <c r="B38" s="864" t="s">
        <v>528</v>
      </c>
      <c r="C38" s="864"/>
      <c r="D38" s="864"/>
      <c r="E38" s="114"/>
    </row>
    <row r="39" spans="2:9" x14ac:dyDescent="0.25">
      <c r="B39" s="864" t="s">
        <v>529</v>
      </c>
      <c r="C39" s="864"/>
      <c r="D39" s="864"/>
      <c r="E39" s="114"/>
      <c r="G39" s="863" t="s">
        <v>541</v>
      </c>
      <c r="H39" s="863"/>
      <c r="I39" s="863"/>
    </row>
    <row r="40" spans="2:9" x14ac:dyDescent="0.25">
      <c r="B40" s="865" t="s">
        <v>395</v>
      </c>
      <c r="C40" s="865"/>
      <c r="D40" s="865"/>
      <c r="E40" s="258">
        <f>SUM(E31:E39)</f>
        <v>0</v>
      </c>
      <c r="G40" s="254" t="s">
        <v>542</v>
      </c>
      <c r="H40" s="257" t="s">
        <v>543</v>
      </c>
      <c r="I40" s="254" t="s">
        <v>544</v>
      </c>
    </row>
    <row r="41" spans="2:9" x14ac:dyDescent="0.25">
      <c r="E41" s="202" t="s">
        <v>576</v>
      </c>
      <c r="G41" s="254" t="s">
        <v>545</v>
      </c>
      <c r="H41" s="254" t="s">
        <v>547</v>
      </c>
      <c r="I41" s="254" t="s">
        <v>546</v>
      </c>
    </row>
    <row r="43" spans="2:9" x14ac:dyDescent="0.25">
      <c r="B43" s="860" t="s">
        <v>520</v>
      </c>
      <c r="C43" s="861"/>
      <c r="D43" s="862"/>
      <c r="E43" s="251">
        <v>1</v>
      </c>
      <c r="G43" s="254">
        <v>1</v>
      </c>
      <c r="H43" s="254" t="s">
        <v>539</v>
      </c>
    </row>
    <row r="44" spans="2:9" x14ac:dyDescent="0.25">
      <c r="G44" s="254">
        <v>0</v>
      </c>
      <c r="H44" s="254" t="s">
        <v>540</v>
      </c>
    </row>
  </sheetData>
  <mergeCells count="46">
    <mergeCell ref="A2:E2"/>
    <mergeCell ref="C5:D5"/>
    <mergeCell ref="B7:E7"/>
    <mergeCell ref="B8:E8"/>
    <mergeCell ref="G31:I31"/>
    <mergeCell ref="G6:I6"/>
    <mergeCell ref="B20:E20"/>
    <mergeCell ref="B22:E22"/>
    <mergeCell ref="B23:E23"/>
    <mergeCell ref="B21:E21"/>
    <mergeCell ref="B15:E15"/>
    <mergeCell ref="B16:E16"/>
    <mergeCell ref="B17:E17"/>
    <mergeCell ref="B9:E9"/>
    <mergeCell ref="C4:D4"/>
    <mergeCell ref="B32:D32"/>
    <mergeCell ref="H32:I32"/>
    <mergeCell ref="B10:E10"/>
    <mergeCell ref="B11:E11"/>
    <mergeCell ref="B12:E12"/>
    <mergeCell ref="B13:E13"/>
    <mergeCell ref="B14:E14"/>
    <mergeCell ref="B28:E28"/>
    <mergeCell ref="G15:K17"/>
    <mergeCell ref="B27:E27"/>
    <mergeCell ref="B24:E24"/>
    <mergeCell ref="B25:E25"/>
    <mergeCell ref="B26:E26"/>
    <mergeCell ref="B18:E18"/>
    <mergeCell ref="B19:E19"/>
    <mergeCell ref="B43:D43"/>
    <mergeCell ref="G4:I4"/>
    <mergeCell ref="G5:I5"/>
    <mergeCell ref="G39:I39"/>
    <mergeCell ref="B36:D36"/>
    <mergeCell ref="B37:D37"/>
    <mergeCell ref="B38:D38"/>
    <mergeCell ref="B39:D39"/>
    <mergeCell ref="B40:D40"/>
    <mergeCell ref="B33:D33"/>
    <mergeCell ref="H33:I33"/>
    <mergeCell ref="B34:D34"/>
    <mergeCell ref="H34:I34"/>
    <mergeCell ref="B35:D35"/>
    <mergeCell ref="B30:D30"/>
    <mergeCell ref="B31:D31"/>
  </mergeCells>
  <conditionalFormatting sqref="E5">
    <cfRule type="containsText" dxfId="119" priority="1" operator="containsText" text="Terminé">
      <formula>NOT(ISERROR(SEARCH("Terminé",E5)))</formula>
    </cfRule>
    <cfRule type="containsText" dxfId="118" priority="2" operator="containsText" text="En cours">
      <formula>NOT(ISERROR(SEARCH("En cours",E5)))</formula>
    </cfRule>
    <cfRule type="containsText" dxfId="117"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 ref="J13" r:id="rId1"/>
    <hyperlink ref="L11" r:id="rId2"/>
  </hyperlinks>
  <pageMargins left="0.7" right="0.7" top="0.75" bottom="0.75" header="0.3" footer="0.3"/>
  <pageSetup paperSize="9" scale="90" orientation="portrait"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44"/>
  <sheetViews>
    <sheetView topLeftCell="B1" zoomScaleNormal="100" zoomScaleSheetLayoutView="145"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2" ht="21" x14ac:dyDescent="0.35">
      <c r="A1" s="11" t="s">
        <v>87</v>
      </c>
      <c r="B1" s="11"/>
      <c r="C1" s="11"/>
      <c r="D1" s="11"/>
      <c r="E1" s="11"/>
    </row>
    <row r="2" spans="1:12" ht="26.25" x14ac:dyDescent="0.4">
      <c r="A2" s="856" t="s">
        <v>913</v>
      </c>
      <c r="B2" s="856"/>
      <c r="C2" s="856"/>
      <c r="D2" s="856"/>
      <c r="E2" s="856"/>
    </row>
    <row r="3" spans="1:12" ht="27" thickBot="1" x14ac:dyDescent="0.45">
      <c r="A3" s="107"/>
      <c r="B3" s="107"/>
      <c r="C3" s="107"/>
      <c r="D3" s="107"/>
      <c r="E3" s="107"/>
    </row>
    <row r="4" spans="1:12" ht="15.75" thickBot="1" x14ac:dyDescent="0.3">
      <c r="A4" s="12"/>
      <c r="B4" s="233" t="s">
        <v>469</v>
      </c>
      <c r="C4" s="851" t="s">
        <v>41</v>
      </c>
      <c r="D4" s="852"/>
      <c r="E4" s="175" t="s">
        <v>121</v>
      </c>
      <c r="G4" s="848" t="s">
        <v>914</v>
      </c>
      <c r="H4" s="848"/>
      <c r="I4" s="848"/>
    </row>
    <row r="5" spans="1:12" ht="18.75" customHeight="1" x14ac:dyDescent="0.25">
      <c r="A5" s="381" t="s">
        <v>651</v>
      </c>
      <c r="B5" s="382" t="s">
        <v>652</v>
      </c>
      <c r="C5" s="820" t="s">
        <v>18</v>
      </c>
      <c r="D5" s="820"/>
      <c r="E5" s="232" t="s">
        <v>19</v>
      </c>
      <c r="G5" s="848" t="s">
        <v>915</v>
      </c>
      <c r="H5" s="848"/>
      <c r="I5" s="848"/>
    </row>
    <row r="6" spans="1:12" ht="16.5" thickBot="1" x14ac:dyDescent="0.3">
      <c r="A6" s="379" t="s">
        <v>660</v>
      </c>
      <c r="B6" s="380" t="s">
        <v>784</v>
      </c>
      <c r="C6" s="16"/>
      <c r="D6" s="16"/>
      <c r="E6" s="16"/>
      <c r="G6" s="850" t="s">
        <v>916</v>
      </c>
      <c r="H6" s="850"/>
      <c r="I6" s="850"/>
    </row>
    <row r="7" spans="1:12" ht="24" customHeight="1" thickBot="1" x14ac:dyDescent="0.3">
      <c r="A7" s="207" t="s">
        <v>1</v>
      </c>
      <c r="B7" s="820" t="s">
        <v>119</v>
      </c>
      <c r="C7" s="820"/>
      <c r="D7" s="820"/>
      <c r="E7" s="820"/>
    </row>
    <row r="8" spans="1:12" ht="24" customHeight="1" thickBot="1" x14ac:dyDescent="0.3">
      <c r="A8" s="207" t="s">
        <v>0</v>
      </c>
      <c r="B8" s="820" t="s">
        <v>120</v>
      </c>
      <c r="C8" s="820"/>
      <c r="D8" s="820"/>
      <c r="E8" s="820"/>
    </row>
    <row r="9" spans="1:12" ht="38.25" customHeight="1" x14ac:dyDescent="0.25">
      <c r="A9" s="208" t="s">
        <v>2</v>
      </c>
      <c r="B9" s="854" t="s">
        <v>113</v>
      </c>
      <c r="C9" s="855"/>
      <c r="D9" s="855"/>
      <c r="E9" s="855"/>
      <c r="G9" s="131" t="s">
        <v>230</v>
      </c>
      <c r="H9" s="387" t="s">
        <v>228</v>
      </c>
      <c r="I9" s="131" t="s">
        <v>175</v>
      </c>
      <c r="J9" s="132" t="s">
        <v>226</v>
      </c>
      <c r="K9" s="132" t="s">
        <v>227</v>
      </c>
      <c r="L9" s="386" t="s">
        <v>229</v>
      </c>
    </row>
    <row r="10" spans="1:12" ht="33.75" customHeight="1" x14ac:dyDescent="0.25">
      <c r="A10" s="208" t="s">
        <v>31</v>
      </c>
      <c r="B10" s="889"/>
      <c r="C10" s="889"/>
      <c r="D10" s="889"/>
      <c r="E10" s="889"/>
      <c r="G10" s="386">
        <v>300</v>
      </c>
      <c r="H10" s="387">
        <f>G10*1000</f>
        <v>300000</v>
      </c>
      <c r="I10" s="386">
        <v>0.15</v>
      </c>
      <c r="J10" s="387">
        <v>850</v>
      </c>
      <c r="K10" s="387">
        <v>0.36499999999999999</v>
      </c>
      <c r="L10" s="386">
        <f>2.285*1.21</f>
        <v>2.76485</v>
      </c>
    </row>
    <row r="11" spans="1:12" ht="30" customHeight="1" x14ac:dyDescent="0.25">
      <c r="A11" s="209" t="s">
        <v>16</v>
      </c>
      <c r="B11" s="874" t="s">
        <v>41</v>
      </c>
      <c r="C11" s="874"/>
      <c r="D11" s="874"/>
      <c r="E11" s="874"/>
      <c r="K11" s="37" t="s">
        <v>614</v>
      </c>
      <c r="L11" s="202" t="s">
        <v>613</v>
      </c>
    </row>
    <row r="12" spans="1:12" ht="30" customHeight="1" x14ac:dyDescent="0.25">
      <c r="A12" s="209" t="s">
        <v>3</v>
      </c>
      <c r="B12" s="874"/>
      <c r="C12" s="874"/>
      <c r="D12" s="874"/>
      <c r="E12" s="874"/>
      <c r="J12" s="37" t="s">
        <v>616</v>
      </c>
    </row>
    <row r="13" spans="1:12" ht="30" customHeight="1" x14ac:dyDescent="0.25">
      <c r="A13" s="209" t="s">
        <v>17</v>
      </c>
      <c r="B13" s="874"/>
      <c r="C13" s="874"/>
      <c r="D13" s="874"/>
      <c r="E13" s="874"/>
      <c r="G13" s="37" t="s">
        <v>438</v>
      </c>
      <c r="I13" s="37">
        <v>2.4</v>
      </c>
      <c r="J13" s="202" t="s">
        <v>615</v>
      </c>
    </row>
    <row r="14" spans="1:12" ht="30" customHeight="1" x14ac:dyDescent="0.25">
      <c r="A14" s="209" t="s">
        <v>4</v>
      </c>
      <c r="B14" s="874">
        <v>2015</v>
      </c>
      <c r="C14" s="874"/>
      <c r="D14" s="874"/>
      <c r="E14" s="874"/>
      <c r="G14" s="25" t="s">
        <v>431</v>
      </c>
    </row>
    <row r="15" spans="1:12" ht="30" customHeight="1" x14ac:dyDescent="0.25">
      <c r="A15" s="209" t="s">
        <v>5</v>
      </c>
      <c r="B15" s="874">
        <v>2020</v>
      </c>
      <c r="C15" s="874"/>
      <c r="D15" s="874"/>
      <c r="E15" s="874"/>
      <c r="G15" s="154" t="s">
        <v>432</v>
      </c>
      <c r="H15" s="154"/>
      <c r="I15" s="154">
        <v>3</v>
      </c>
    </row>
    <row r="16" spans="1:12" ht="30" customHeight="1" x14ac:dyDescent="0.25">
      <c r="A16" s="209" t="s">
        <v>6</v>
      </c>
      <c r="B16" s="845">
        <f>H10*L10</f>
        <v>829455</v>
      </c>
      <c r="C16" s="845"/>
      <c r="D16" s="845"/>
      <c r="E16" s="845"/>
      <c r="G16" s="941" t="s">
        <v>433</v>
      </c>
      <c r="H16" s="942"/>
      <c r="I16" s="201">
        <f>I15*L10*1000</f>
        <v>8294.5500000000011</v>
      </c>
    </row>
    <row r="17" spans="1:9" ht="30" customHeight="1" x14ac:dyDescent="0.25">
      <c r="A17" s="209" t="s">
        <v>7</v>
      </c>
      <c r="B17" s="845"/>
      <c r="C17" s="845"/>
      <c r="D17" s="845"/>
      <c r="E17" s="845"/>
      <c r="G17" s="941" t="s">
        <v>434</v>
      </c>
      <c r="H17" s="942"/>
      <c r="I17" s="201">
        <v>2735</v>
      </c>
    </row>
    <row r="18" spans="1:9" ht="30" customHeight="1" x14ac:dyDescent="0.25">
      <c r="A18" s="210" t="s">
        <v>468</v>
      </c>
      <c r="B18" s="868"/>
      <c r="C18" s="869"/>
      <c r="D18" s="869"/>
      <c r="E18" s="869"/>
      <c r="G18" s="154" t="s">
        <v>435</v>
      </c>
      <c r="H18" s="154"/>
      <c r="I18" s="201">
        <v>468</v>
      </c>
    </row>
    <row r="19" spans="1:9" ht="30" customHeight="1" x14ac:dyDescent="0.25">
      <c r="A19" s="238" t="s">
        <v>467</v>
      </c>
      <c r="B19" s="870">
        <f>G10*J10</f>
        <v>255000</v>
      </c>
      <c r="C19" s="871"/>
      <c r="D19" s="871"/>
      <c r="E19" s="871"/>
      <c r="G19" s="943" t="s">
        <v>436</v>
      </c>
      <c r="H19" s="944"/>
      <c r="I19" s="201">
        <f>I16-I17+I18</f>
        <v>6027.5500000000011</v>
      </c>
    </row>
    <row r="20" spans="1:9" ht="30" customHeight="1" x14ac:dyDescent="0.25">
      <c r="A20" s="209" t="s">
        <v>8</v>
      </c>
      <c r="B20" s="845">
        <f>B19*I10</f>
        <v>38250</v>
      </c>
      <c r="C20" s="845"/>
      <c r="D20" s="845"/>
      <c r="E20" s="845"/>
    </row>
    <row r="21" spans="1:9" ht="30" customHeight="1" x14ac:dyDescent="0.25">
      <c r="A21" s="209" t="s">
        <v>9</v>
      </c>
      <c r="B21" s="845">
        <f>B19*I13*65/1000</f>
        <v>39780</v>
      </c>
      <c r="C21" s="845"/>
      <c r="D21" s="845"/>
      <c r="E21" s="845"/>
    </row>
    <row r="22" spans="1:9" ht="30" customHeight="1" x14ac:dyDescent="0.25">
      <c r="A22" s="209" t="s">
        <v>465</v>
      </c>
      <c r="B22" s="846">
        <f>B16/(B20+B21)</f>
        <v>10.629950019223376</v>
      </c>
      <c r="C22" s="846"/>
      <c r="D22" s="846"/>
      <c r="E22" s="846"/>
    </row>
    <row r="23" spans="1:9" ht="30" customHeight="1" x14ac:dyDescent="0.25">
      <c r="A23" s="209" t="s">
        <v>466</v>
      </c>
      <c r="B23" s="847">
        <f>(B16-B17)/(B20+B21)</f>
        <v>10.629950019223376</v>
      </c>
      <c r="C23" s="847"/>
      <c r="D23" s="847"/>
      <c r="E23" s="847"/>
    </row>
    <row r="24" spans="1:9" ht="30" customHeight="1" x14ac:dyDescent="0.25">
      <c r="A24" s="211" t="s">
        <v>476</v>
      </c>
      <c r="B24" s="901">
        <f>G10*J10*K10/1000</f>
        <v>93.075000000000003</v>
      </c>
      <c r="C24" s="901"/>
      <c r="D24" s="901"/>
      <c r="E24" s="901"/>
    </row>
    <row r="25" spans="1:9" ht="30" customHeight="1" x14ac:dyDescent="0.25">
      <c r="A25" s="212" t="s">
        <v>463</v>
      </c>
      <c r="B25" s="881">
        <f>B24/'Objectifs CO2'!C13</f>
        <v>0.6743612838454055</v>
      </c>
      <c r="C25" s="881"/>
      <c r="D25" s="881"/>
      <c r="E25" s="881"/>
    </row>
    <row r="26" spans="1:9" ht="30" customHeight="1" x14ac:dyDescent="0.25">
      <c r="A26" s="213" t="s">
        <v>464</v>
      </c>
      <c r="B26" s="881">
        <f>B24/'Objectifs CO2'!C8</f>
        <v>1.348722567690811E-2</v>
      </c>
      <c r="C26" s="881"/>
      <c r="D26" s="881"/>
      <c r="E26" s="881"/>
    </row>
    <row r="27" spans="1:9" ht="30" customHeight="1" x14ac:dyDescent="0.25">
      <c r="A27" s="213" t="s">
        <v>24</v>
      </c>
      <c r="B27" s="853" t="s">
        <v>10</v>
      </c>
      <c r="C27" s="853"/>
      <c r="D27" s="853"/>
      <c r="E27" s="853"/>
    </row>
    <row r="28" spans="1:9" ht="30" customHeight="1" x14ac:dyDescent="0.25">
      <c r="A28" s="213" t="s">
        <v>418</v>
      </c>
      <c r="B28" s="853" t="s">
        <v>440</v>
      </c>
      <c r="C28" s="853"/>
      <c r="D28" s="853"/>
      <c r="E28" s="853"/>
      <c r="F28" s="37" t="s">
        <v>442</v>
      </c>
    </row>
    <row r="30" spans="1:9" x14ac:dyDescent="0.25">
      <c r="B30" s="867" t="s">
        <v>530</v>
      </c>
      <c r="C30" s="867"/>
      <c r="D30" s="867"/>
      <c r="E30" s="143" t="s">
        <v>538</v>
      </c>
    </row>
    <row r="31" spans="1:9" x14ac:dyDescent="0.25">
      <c r="B31" s="864" t="s">
        <v>521</v>
      </c>
      <c r="C31" s="864"/>
      <c r="D31" s="864"/>
      <c r="E31" s="114"/>
      <c r="G31" s="866" t="s">
        <v>538</v>
      </c>
      <c r="H31" s="866"/>
      <c r="I31" s="866"/>
    </row>
    <row r="32" spans="1:9" x14ac:dyDescent="0.25">
      <c r="B32" s="864" t="s">
        <v>522</v>
      </c>
      <c r="C32" s="864"/>
      <c r="D32" s="864"/>
      <c r="E32" s="114"/>
      <c r="G32" s="252">
        <v>3</v>
      </c>
      <c r="H32" s="866" t="s">
        <v>535</v>
      </c>
      <c r="I32" s="866"/>
    </row>
    <row r="33" spans="2:9" x14ac:dyDescent="0.25">
      <c r="B33" s="864" t="s">
        <v>524</v>
      </c>
      <c r="C33" s="864"/>
      <c r="D33" s="864"/>
      <c r="E33" s="114"/>
      <c r="G33" s="252">
        <v>2</v>
      </c>
      <c r="H33" s="866" t="s">
        <v>536</v>
      </c>
      <c r="I33" s="866"/>
    </row>
    <row r="34" spans="2:9" x14ac:dyDescent="0.25">
      <c r="B34" s="864" t="s">
        <v>523</v>
      </c>
      <c r="C34" s="864"/>
      <c r="D34" s="864"/>
      <c r="E34" s="114"/>
      <c r="G34" s="252">
        <v>1</v>
      </c>
      <c r="H34" s="866" t="s">
        <v>537</v>
      </c>
      <c r="I34" s="866"/>
    </row>
    <row r="35" spans="2:9" x14ac:dyDescent="0.25">
      <c r="B35" s="864" t="s">
        <v>525</v>
      </c>
      <c r="C35" s="864"/>
      <c r="D35" s="864"/>
      <c r="E35" s="114"/>
    </row>
    <row r="36" spans="2:9" x14ac:dyDescent="0.25">
      <c r="B36" s="864" t="s">
        <v>526</v>
      </c>
      <c r="C36" s="864"/>
      <c r="D36" s="864"/>
      <c r="E36" s="114"/>
    </row>
    <row r="37" spans="2:9" x14ac:dyDescent="0.25">
      <c r="B37" s="864" t="s">
        <v>527</v>
      </c>
      <c r="C37" s="864"/>
      <c r="D37" s="864"/>
      <c r="E37" s="114"/>
    </row>
    <row r="38" spans="2:9" x14ac:dyDescent="0.25">
      <c r="B38" s="864" t="s">
        <v>528</v>
      </c>
      <c r="C38" s="864"/>
      <c r="D38" s="864"/>
      <c r="E38" s="114"/>
    </row>
    <row r="39" spans="2:9" x14ac:dyDescent="0.25">
      <c r="B39" s="864" t="s">
        <v>529</v>
      </c>
      <c r="C39" s="864"/>
      <c r="D39" s="864"/>
      <c r="E39" s="114"/>
      <c r="G39" s="863" t="s">
        <v>541</v>
      </c>
      <c r="H39" s="863"/>
      <c r="I39" s="863"/>
    </row>
    <row r="40" spans="2:9" x14ac:dyDescent="0.25">
      <c r="B40" s="865" t="s">
        <v>395</v>
      </c>
      <c r="C40" s="865"/>
      <c r="D40" s="865"/>
      <c r="E40" s="258">
        <f>SUM(E31:E39)</f>
        <v>0</v>
      </c>
      <c r="G40" s="254" t="s">
        <v>542</v>
      </c>
      <c r="H40" s="257" t="s">
        <v>543</v>
      </c>
      <c r="I40" s="254" t="s">
        <v>544</v>
      </c>
    </row>
    <row r="41" spans="2:9" x14ac:dyDescent="0.25">
      <c r="E41" s="202" t="s">
        <v>576</v>
      </c>
      <c r="G41" s="254" t="s">
        <v>545</v>
      </c>
      <c r="H41" s="254" t="s">
        <v>547</v>
      </c>
      <c r="I41" s="254" t="s">
        <v>546</v>
      </c>
    </row>
    <row r="43" spans="2:9" x14ac:dyDescent="0.25">
      <c r="B43" s="860" t="s">
        <v>520</v>
      </c>
      <c r="C43" s="861"/>
      <c r="D43" s="862"/>
      <c r="E43" s="251">
        <v>1</v>
      </c>
      <c r="G43" s="254">
        <v>1</v>
      </c>
      <c r="H43" s="254" t="s">
        <v>539</v>
      </c>
    </row>
    <row r="44" spans="2:9" x14ac:dyDescent="0.25">
      <c r="G44" s="254">
        <v>0</v>
      </c>
      <c r="H44" s="254" t="s">
        <v>540</v>
      </c>
    </row>
  </sheetData>
  <mergeCells count="48">
    <mergeCell ref="G6:I6"/>
    <mergeCell ref="B20:E20"/>
    <mergeCell ref="B22:E22"/>
    <mergeCell ref="B23:E23"/>
    <mergeCell ref="B21:E21"/>
    <mergeCell ref="B9:E9"/>
    <mergeCell ref="B11:E11"/>
    <mergeCell ref="B12:E12"/>
    <mergeCell ref="B13:E13"/>
    <mergeCell ref="B14:E14"/>
    <mergeCell ref="A2:E2"/>
    <mergeCell ref="C5:D5"/>
    <mergeCell ref="B7:E7"/>
    <mergeCell ref="B8:E8"/>
    <mergeCell ref="B10:E10"/>
    <mergeCell ref="C4:D4"/>
    <mergeCell ref="G31:I31"/>
    <mergeCell ref="B32:D32"/>
    <mergeCell ref="H32:I32"/>
    <mergeCell ref="B15:E15"/>
    <mergeCell ref="B16:E16"/>
    <mergeCell ref="B17:E17"/>
    <mergeCell ref="B28:E28"/>
    <mergeCell ref="G16:H16"/>
    <mergeCell ref="G17:H17"/>
    <mergeCell ref="G19:H19"/>
    <mergeCell ref="B27:E27"/>
    <mergeCell ref="B24:E24"/>
    <mergeCell ref="B25:E25"/>
    <mergeCell ref="B26:E26"/>
    <mergeCell ref="B18:E18"/>
    <mergeCell ref="B19:E19"/>
    <mergeCell ref="B43:D43"/>
    <mergeCell ref="G4:I4"/>
    <mergeCell ref="G5:I5"/>
    <mergeCell ref="G39:I39"/>
    <mergeCell ref="B36:D36"/>
    <mergeCell ref="B37:D37"/>
    <mergeCell ref="B38:D38"/>
    <mergeCell ref="B39:D39"/>
    <mergeCell ref="B40:D40"/>
    <mergeCell ref="B33:D33"/>
    <mergeCell ref="H33:I33"/>
    <mergeCell ref="B34:D34"/>
    <mergeCell ref="H34:I34"/>
    <mergeCell ref="B35:D35"/>
    <mergeCell ref="B30:D30"/>
    <mergeCell ref="B31:D31"/>
  </mergeCells>
  <conditionalFormatting sqref="E5">
    <cfRule type="containsText" dxfId="116" priority="1" operator="containsText" text="Terminé">
      <formula>NOT(ISERROR(SEARCH("Terminé",E5)))</formula>
    </cfRule>
    <cfRule type="containsText" dxfId="115" priority="2" operator="containsText" text="En cours">
      <formula>NOT(ISERROR(SEARCH("En cours",E5)))</formula>
    </cfRule>
    <cfRule type="containsText" dxfId="114"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 ref="J13" r:id="rId1"/>
    <hyperlink ref="L11" r:id="rId2"/>
  </hyperlinks>
  <pageMargins left="0.7" right="0.7" top="0.75" bottom="0.75" header="0.3" footer="0.3"/>
  <pageSetup paperSize="9" scale="90" orientation="portrait"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44"/>
  <sheetViews>
    <sheetView zoomScaleNormal="100" zoomScaleSheetLayoutView="220" workbookViewId="0">
      <selection activeCell="E5" sqref="E5"/>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5" ht="21" x14ac:dyDescent="0.35">
      <c r="A1" s="11" t="s">
        <v>87</v>
      </c>
      <c r="B1" s="11"/>
      <c r="C1" s="11"/>
      <c r="D1" s="11"/>
      <c r="E1" s="11"/>
    </row>
    <row r="2" spans="1:15" ht="26.25" x14ac:dyDescent="0.4">
      <c r="A2" s="856" t="s">
        <v>913</v>
      </c>
      <c r="B2" s="856"/>
      <c r="C2" s="856"/>
      <c r="D2" s="856"/>
      <c r="E2" s="856"/>
    </row>
    <row r="3" spans="1:15" ht="27" thickBot="1" x14ac:dyDescent="0.45">
      <c r="A3" s="107"/>
      <c r="B3" s="107"/>
      <c r="C3" s="107"/>
      <c r="D3" s="107"/>
      <c r="E3" s="107"/>
    </row>
    <row r="4" spans="1:15" ht="15.75" thickBot="1" x14ac:dyDescent="0.3">
      <c r="A4" s="12"/>
      <c r="B4" s="233" t="s">
        <v>469</v>
      </c>
      <c r="C4" s="851" t="s">
        <v>61</v>
      </c>
      <c r="D4" s="852"/>
      <c r="E4" s="175" t="s">
        <v>122</v>
      </c>
      <c r="G4" s="848" t="s">
        <v>914</v>
      </c>
      <c r="H4" s="848"/>
      <c r="I4" s="848"/>
    </row>
    <row r="5" spans="1:15" ht="18.75" customHeight="1" x14ac:dyDescent="0.25">
      <c r="A5" s="381" t="s">
        <v>651</v>
      </c>
      <c r="B5" s="382" t="s">
        <v>654</v>
      </c>
      <c r="C5" s="820" t="s">
        <v>18</v>
      </c>
      <c r="D5" s="820"/>
      <c r="E5" s="232" t="s">
        <v>21</v>
      </c>
      <c r="G5" s="848" t="s">
        <v>915</v>
      </c>
      <c r="H5" s="848"/>
      <c r="I5" s="848"/>
    </row>
    <row r="6" spans="1:15" ht="16.5" thickBot="1" x14ac:dyDescent="0.3">
      <c r="A6" s="379" t="s">
        <v>660</v>
      </c>
      <c r="B6" s="380" t="s">
        <v>398</v>
      </c>
      <c r="C6" s="16"/>
      <c r="D6" s="16"/>
      <c r="E6" s="16"/>
      <c r="G6" s="850" t="s">
        <v>916</v>
      </c>
      <c r="H6" s="850"/>
      <c r="I6" s="850"/>
    </row>
    <row r="7" spans="1:15" ht="24" customHeight="1" thickBot="1" x14ac:dyDescent="0.3">
      <c r="A7" s="207" t="s">
        <v>1</v>
      </c>
      <c r="B7" s="820" t="s">
        <v>61</v>
      </c>
      <c r="C7" s="820"/>
      <c r="D7" s="820"/>
      <c r="E7" s="820"/>
    </row>
    <row r="8" spans="1:15" ht="24" customHeight="1" thickBot="1" x14ac:dyDescent="0.3">
      <c r="A8" s="207" t="s">
        <v>0</v>
      </c>
      <c r="B8" s="820" t="s">
        <v>988</v>
      </c>
      <c r="C8" s="820"/>
      <c r="D8" s="820"/>
      <c r="E8" s="820"/>
    </row>
    <row r="9" spans="1:15" ht="30.75" customHeight="1" x14ac:dyDescent="0.25">
      <c r="A9" s="208" t="s">
        <v>2</v>
      </c>
      <c r="B9" s="890"/>
      <c r="C9" s="890"/>
      <c r="D9" s="890"/>
      <c r="E9" s="890"/>
      <c r="G9" s="116" t="s">
        <v>231</v>
      </c>
      <c r="H9" s="116" t="s">
        <v>232</v>
      </c>
      <c r="I9" s="116" t="s">
        <v>233</v>
      </c>
      <c r="J9" s="116" t="s">
        <v>234</v>
      </c>
      <c r="K9" s="116" t="s">
        <v>235</v>
      </c>
      <c r="L9" s="117" t="s">
        <v>236</v>
      </c>
      <c r="M9" s="117" t="s">
        <v>237</v>
      </c>
      <c r="N9" s="116" t="s">
        <v>238</v>
      </c>
      <c r="O9" s="117" t="s">
        <v>227</v>
      </c>
    </row>
    <row r="10" spans="1:15" ht="18" customHeight="1" x14ac:dyDescent="0.25">
      <c r="A10" s="208" t="s">
        <v>31</v>
      </c>
      <c r="B10" s="889"/>
      <c r="C10" s="889"/>
      <c r="D10" s="889"/>
      <c r="E10" s="889"/>
      <c r="G10" s="118">
        <v>1</v>
      </c>
      <c r="H10" s="118">
        <v>10</v>
      </c>
      <c r="I10" s="118">
        <v>0.23899999999999999</v>
      </c>
      <c r="J10" s="118">
        <v>0.17</v>
      </c>
      <c r="K10" s="118">
        <v>65</v>
      </c>
      <c r="L10" s="119">
        <v>365</v>
      </c>
      <c r="M10" s="119">
        <v>24</v>
      </c>
      <c r="N10" s="118">
        <v>195000</v>
      </c>
      <c r="O10" s="119">
        <v>0.36499999999999999</v>
      </c>
    </row>
    <row r="11" spans="1:15" ht="30" customHeight="1" x14ac:dyDescent="0.25">
      <c r="A11" s="209" t="s">
        <v>16</v>
      </c>
      <c r="B11" s="874" t="s">
        <v>61</v>
      </c>
      <c r="C11" s="874"/>
      <c r="D11" s="874"/>
      <c r="E11" s="874"/>
    </row>
    <row r="12" spans="1:15" ht="30" customHeight="1" x14ac:dyDescent="0.25">
      <c r="A12" s="209" t="s">
        <v>3</v>
      </c>
      <c r="B12" s="874"/>
      <c r="C12" s="874"/>
      <c r="D12" s="874"/>
      <c r="E12" s="874"/>
    </row>
    <row r="13" spans="1:15" ht="30" customHeight="1" x14ac:dyDescent="0.25">
      <c r="A13" s="209" t="s">
        <v>17</v>
      </c>
      <c r="B13" s="874"/>
      <c r="C13" s="874"/>
      <c r="D13" s="874"/>
      <c r="E13" s="874"/>
    </row>
    <row r="14" spans="1:15" ht="30" customHeight="1" x14ac:dyDescent="0.25">
      <c r="A14" s="209" t="s">
        <v>4</v>
      </c>
      <c r="B14" s="874">
        <v>2017</v>
      </c>
      <c r="C14" s="874"/>
      <c r="D14" s="874"/>
      <c r="E14" s="874"/>
    </row>
    <row r="15" spans="1:15" ht="30" customHeight="1" x14ac:dyDescent="0.25">
      <c r="A15" s="209" t="s">
        <v>5</v>
      </c>
      <c r="B15" s="874">
        <v>2020</v>
      </c>
      <c r="C15" s="874"/>
      <c r="D15" s="874"/>
      <c r="E15" s="874"/>
    </row>
    <row r="16" spans="1:15" ht="30" customHeight="1" x14ac:dyDescent="0.25">
      <c r="A16" s="209" t="s">
        <v>6</v>
      </c>
      <c r="B16" s="845">
        <f>G10*N10</f>
        <v>195000</v>
      </c>
      <c r="C16" s="845"/>
      <c r="D16" s="845"/>
      <c r="E16" s="845"/>
    </row>
    <row r="17" spans="1:9" ht="30" customHeight="1" x14ac:dyDescent="0.25">
      <c r="A17" s="209" t="s">
        <v>7</v>
      </c>
      <c r="B17" s="845">
        <f>B16*0.2</f>
        <v>39000</v>
      </c>
      <c r="C17" s="845"/>
      <c r="D17" s="845"/>
      <c r="E17" s="845"/>
    </row>
    <row r="18" spans="1:9" ht="30" customHeight="1" x14ac:dyDescent="0.25">
      <c r="A18" s="210" t="s">
        <v>468</v>
      </c>
      <c r="B18" s="868"/>
      <c r="C18" s="869"/>
      <c r="D18" s="869"/>
      <c r="E18" s="869"/>
    </row>
    <row r="19" spans="1:9" ht="30" customHeight="1" x14ac:dyDescent="0.25">
      <c r="A19" s="238" t="s">
        <v>467</v>
      </c>
      <c r="B19" s="870">
        <f>G10*H10*I10*L10*M10</f>
        <v>20936.399999999998</v>
      </c>
      <c r="C19" s="871"/>
      <c r="D19" s="871"/>
      <c r="E19" s="871"/>
    </row>
    <row r="20" spans="1:9" ht="30" customHeight="1" x14ac:dyDescent="0.25">
      <c r="A20" s="209" t="s">
        <v>8</v>
      </c>
      <c r="B20" s="845">
        <f>B19*J10</f>
        <v>3559.1880000000001</v>
      </c>
      <c r="C20" s="845"/>
      <c r="D20" s="845"/>
      <c r="E20" s="845"/>
    </row>
    <row r="21" spans="1:9" ht="30" customHeight="1" x14ac:dyDescent="0.25">
      <c r="A21" s="209" t="s">
        <v>9</v>
      </c>
      <c r="B21" s="845">
        <f>B19/1000*K10</f>
        <v>1360.866</v>
      </c>
      <c r="C21" s="845"/>
      <c r="D21" s="845"/>
      <c r="E21" s="845"/>
    </row>
    <row r="22" spans="1:9" ht="30" customHeight="1" x14ac:dyDescent="0.25">
      <c r="A22" s="209" t="s">
        <v>465</v>
      </c>
      <c r="B22" s="846">
        <f>B16/(B20+B21)</f>
        <v>39.633711337314587</v>
      </c>
      <c r="C22" s="846"/>
      <c r="D22" s="846"/>
      <c r="E22" s="846"/>
    </row>
    <row r="23" spans="1:9" ht="30" customHeight="1" x14ac:dyDescent="0.25">
      <c r="A23" s="209" t="s">
        <v>466</v>
      </c>
      <c r="B23" s="847">
        <f>(B16-B17)/(B20+B21)</f>
        <v>31.70696906985167</v>
      </c>
      <c r="C23" s="847"/>
      <c r="D23" s="847"/>
      <c r="E23" s="847"/>
    </row>
    <row r="24" spans="1:9" ht="30" customHeight="1" x14ac:dyDescent="0.25">
      <c r="A24" s="211" t="s">
        <v>476</v>
      </c>
      <c r="B24" s="901">
        <f>B19/1000*O10</f>
        <v>7.6417859999999997</v>
      </c>
      <c r="C24" s="901"/>
      <c r="D24" s="901"/>
      <c r="E24" s="901"/>
    </row>
    <row r="25" spans="1:9" ht="30" customHeight="1" x14ac:dyDescent="0.25">
      <c r="A25" s="212" t="s">
        <v>463</v>
      </c>
      <c r="B25" s="881">
        <f>B24/'Objectifs CO2'!C11</f>
        <v>1.1073488300471329E-2</v>
      </c>
      <c r="C25" s="881"/>
      <c r="D25" s="881"/>
      <c r="E25" s="881"/>
    </row>
    <row r="26" spans="1:9" ht="30" customHeight="1" x14ac:dyDescent="0.25">
      <c r="A26" s="213" t="s">
        <v>464</v>
      </c>
      <c r="B26" s="881">
        <f>B24/'Objectifs CO2'!C8</f>
        <v>1.107348830047133E-3</v>
      </c>
      <c r="C26" s="881"/>
      <c r="D26" s="881"/>
      <c r="E26" s="881"/>
    </row>
    <row r="27" spans="1:9" ht="30" customHeight="1" x14ac:dyDescent="0.25">
      <c r="A27" s="213" t="s">
        <v>24</v>
      </c>
      <c r="B27" s="853"/>
      <c r="C27" s="853"/>
      <c r="D27" s="853"/>
      <c r="E27" s="853"/>
    </row>
    <row r="28" spans="1:9" ht="30" customHeight="1" x14ac:dyDescent="0.25">
      <c r="A28" s="213" t="s">
        <v>418</v>
      </c>
      <c r="B28" s="853"/>
      <c r="C28" s="853"/>
      <c r="D28" s="853"/>
      <c r="E28" s="853"/>
    </row>
    <row r="30" spans="1:9" x14ac:dyDescent="0.25">
      <c r="B30" s="867" t="s">
        <v>530</v>
      </c>
      <c r="C30" s="867"/>
      <c r="D30" s="867"/>
      <c r="E30" s="143" t="s">
        <v>538</v>
      </c>
    </row>
    <row r="31" spans="1:9" x14ac:dyDescent="0.25">
      <c r="B31" s="864" t="s">
        <v>521</v>
      </c>
      <c r="C31" s="864"/>
      <c r="D31" s="864"/>
      <c r="E31" s="114"/>
      <c r="G31" s="866" t="s">
        <v>538</v>
      </c>
      <c r="H31" s="866"/>
      <c r="I31" s="866"/>
    </row>
    <row r="32" spans="1:9" x14ac:dyDescent="0.25">
      <c r="B32" s="864" t="s">
        <v>522</v>
      </c>
      <c r="C32" s="864"/>
      <c r="D32" s="864"/>
      <c r="E32" s="114"/>
      <c r="G32" s="252">
        <v>3</v>
      </c>
      <c r="H32" s="866" t="s">
        <v>535</v>
      </c>
      <c r="I32" s="866"/>
    </row>
    <row r="33" spans="2:9" x14ac:dyDescent="0.25">
      <c r="B33" s="864" t="s">
        <v>524</v>
      </c>
      <c r="C33" s="864"/>
      <c r="D33" s="864"/>
      <c r="E33" s="114"/>
      <c r="G33" s="252">
        <v>2</v>
      </c>
      <c r="H33" s="866" t="s">
        <v>536</v>
      </c>
      <c r="I33" s="866"/>
    </row>
    <row r="34" spans="2:9" x14ac:dyDescent="0.25">
      <c r="B34" s="864" t="s">
        <v>523</v>
      </c>
      <c r="C34" s="864"/>
      <c r="D34" s="864"/>
      <c r="E34" s="114"/>
      <c r="G34" s="252">
        <v>1</v>
      </c>
      <c r="H34" s="866" t="s">
        <v>537</v>
      </c>
      <c r="I34" s="866"/>
    </row>
    <row r="35" spans="2:9" x14ac:dyDescent="0.25">
      <c r="B35" s="864" t="s">
        <v>525</v>
      </c>
      <c r="C35" s="864"/>
      <c r="D35" s="864"/>
      <c r="E35" s="114"/>
    </row>
    <row r="36" spans="2:9" x14ac:dyDescent="0.25">
      <c r="B36" s="864" t="s">
        <v>526</v>
      </c>
      <c r="C36" s="864"/>
      <c r="D36" s="864"/>
      <c r="E36" s="114"/>
    </row>
    <row r="37" spans="2:9" x14ac:dyDescent="0.25">
      <c r="B37" s="864" t="s">
        <v>527</v>
      </c>
      <c r="C37" s="864"/>
      <c r="D37" s="864"/>
      <c r="E37" s="114"/>
    </row>
    <row r="38" spans="2:9" x14ac:dyDescent="0.25">
      <c r="B38" s="864" t="s">
        <v>528</v>
      </c>
      <c r="C38" s="864"/>
      <c r="D38" s="864"/>
      <c r="E38" s="114"/>
    </row>
    <row r="39" spans="2:9" x14ac:dyDescent="0.25">
      <c r="B39" s="864" t="s">
        <v>529</v>
      </c>
      <c r="C39" s="864"/>
      <c r="D39" s="864"/>
      <c r="E39" s="114"/>
      <c r="G39" s="863" t="s">
        <v>541</v>
      </c>
      <c r="H39" s="863"/>
      <c r="I39" s="863"/>
    </row>
    <row r="40" spans="2:9" x14ac:dyDescent="0.25">
      <c r="B40" s="865" t="s">
        <v>395</v>
      </c>
      <c r="C40" s="865"/>
      <c r="D40" s="865"/>
      <c r="E40" s="258">
        <f>SUM(E31:E39)</f>
        <v>0</v>
      </c>
      <c r="G40" s="254" t="s">
        <v>542</v>
      </c>
      <c r="H40" s="257" t="s">
        <v>543</v>
      </c>
      <c r="I40" s="254" t="s">
        <v>544</v>
      </c>
    </row>
    <row r="41" spans="2:9" x14ac:dyDescent="0.25">
      <c r="E41" s="202" t="s">
        <v>576</v>
      </c>
      <c r="G41" s="254" t="s">
        <v>545</v>
      </c>
      <c r="H41" s="254" t="s">
        <v>547</v>
      </c>
      <c r="I41" s="254" t="s">
        <v>546</v>
      </c>
    </row>
    <row r="43" spans="2:9" x14ac:dyDescent="0.25">
      <c r="B43" s="860" t="s">
        <v>520</v>
      </c>
      <c r="C43" s="861"/>
      <c r="D43" s="862"/>
      <c r="E43" s="251">
        <v>1</v>
      </c>
      <c r="G43" s="254">
        <v>1</v>
      </c>
      <c r="H43" s="254" t="s">
        <v>539</v>
      </c>
    </row>
    <row r="44" spans="2:9" x14ac:dyDescent="0.25">
      <c r="G44" s="254">
        <v>0</v>
      </c>
      <c r="H44" s="254" t="s">
        <v>540</v>
      </c>
    </row>
  </sheetData>
  <mergeCells count="45">
    <mergeCell ref="G6:I6"/>
    <mergeCell ref="B26:E26"/>
    <mergeCell ref="B9:E9"/>
    <mergeCell ref="A2:E2"/>
    <mergeCell ref="C5:D5"/>
    <mergeCell ref="B7:E7"/>
    <mergeCell ref="B8:E8"/>
    <mergeCell ref="B10:E10"/>
    <mergeCell ref="B11:E11"/>
    <mergeCell ref="B12:E12"/>
    <mergeCell ref="B13:E13"/>
    <mergeCell ref="B14:E14"/>
    <mergeCell ref="C4:D4"/>
    <mergeCell ref="G31:I31"/>
    <mergeCell ref="B32:D32"/>
    <mergeCell ref="H32:I32"/>
    <mergeCell ref="B15:E15"/>
    <mergeCell ref="B16:E16"/>
    <mergeCell ref="B17:E17"/>
    <mergeCell ref="B18:E18"/>
    <mergeCell ref="B19:E19"/>
    <mergeCell ref="B20:E20"/>
    <mergeCell ref="B22:E22"/>
    <mergeCell ref="B23:E23"/>
    <mergeCell ref="B21:E21"/>
    <mergeCell ref="B28:E28"/>
    <mergeCell ref="B27:E27"/>
    <mergeCell ref="B24:E24"/>
    <mergeCell ref="B25:E25"/>
    <mergeCell ref="B43:D43"/>
    <mergeCell ref="G4:I4"/>
    <mergeCell ref="G5:I5"/>
    <mergeCell ref="G39:I39"/>
    <mergeCell ref="B36:D36"/>
    <mergeCell ref="B37:D37"/>
    <mergeCell ref="B38:D38"/>
    <mergeCell ref="B39:D39"/>
    <mergeCell ref="B40:D40"/>
    <mergeCell ref="B33:D33"/>
    <mergeCell ref="H33:I33"/>
    <mergeCell ref="B34:D34"/>
    <mergeCell ref="H34:I34"/>
    <mergeCell ref="B35:D35"/>
    <mergeCell ref="B30:D30"/>
    <mergeCell ref="B31:D31"/>
  </mergeCells>
  <conditionalFormatting sqref="E5">
    <cfRule type="containsText" dxfId="113" priority="1" operator="containsText" text="Terminé">
      <formula>NOT(ISERROR(SEARCH("Terminé",E5)))</formula>
    </cfRule>
    <cfRule type="containsText" dxfId="112" priority="2" operator="containsText" text="En cours">
      <formula>NOT(ISERROR(SEARCH("En cours",E5)))</formula>
    </cfRule>
    <cfRule type="containsText" dxfId="111"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pageSetup paperSize="9" scale="90" fitToHeight="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44"/>
  <sheetViews>
    <sheetView topLeftCell="B4" zoomScaleNormal="100" zoomScaleSheetLayoutView="220"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3" ht="21" x14ac:dyDescent="0.35">
      <c r="A1" s="11" t="s">
        <v>87</v>
      </c>
      <c r="B1" s="11"/>
      <c r="C1" s="11"/>
      <c r="D1" s="11"/>
      <c r="E1" s="11"/>
    </row>
    <row r="2" spans="1:13" ht="26.25" x14ac:dyDescent="0.4">
      <c r="A2" s="856" t="s">
        <v>913</v>
      </c>
      <c r="B2" s="856"/>
      <c r="C2" s="856"/>
      <c r="D2" s="856"/>
      <c r="E2" s="856"/>
    </row>
    <row r="3" spans="1:13" ht="27" thickBot="1" x14ac:dyDescent="0.45">
      <c r="A3" s="113"/>
      <c r="B3" s="113"/>
      <c r="C3" s="113"/>
      <c r="D3" s="113"/>
      <c r="E3" s="113"/>
    </row>
    <row r="4" spans="1:13" ht="15.75" thickBot="1" x14ac:dyDescent="0.3">
      <c r="A4" s="12"/>
      <c r="B4" s="233" t="s">
        <v>469</v>
      </c>
      <c r="C4" s="851" t="s">
        <v>35</v>
      </c>
      <c r="D4" s="852"/>
      <c r="E4" s="175" t="s">
        <v>123</v>
      </c>
      <c r="G4" s="848" t="s">
        <v>914</v>
      </c>
      <c r="H4" s="848"/>
      <c r="I4" s="848"/>
    </row>
    <row r="5" spans="1:13" ht="15.75" x14ac:dyDescent="0.25">
      <c r="A5" s="381" t="s">
        <v>651</v>
      </c>
      <c r="B5" s="382" t="s">
        <v>786</v>
      </c>
      <c r="C5" s="820" t="s">
        <v>18</v>
      </c>
      <c r="D5" s="820"/>
      <c r="E5" s="232" t="s">
        <v>19</v>
      </c>
      <c r="G5" s="848" t="s">
        <v>915</v>
      </c>
      <c r="H5" s="848"/>
      <c r="I5" s="848"/>
    </row>
    <row r="6" spans="1:13" ht="16.5" thickBot="1" x14ac:dyDescent="0.3">
      <c r="A6" s="379" t="s">
        <v>660</v>
      </c>
      <c r="B6" s="380" t="s">
        <v>784</v>
      </c>
      <c r="C6" s="16"/>
      <c r="D6" s="16"/>
      <c r="E6" s="16"/>
      <c r="G6" s="850" t="s">
        <v>916</v>
      </c>
      <c r="H6" s="850"/>
      <c r="I6" s="850"/>
    </row>
    <row r="7" spans="1:13" ht="24" customHeight="1" thickBot="1" x14ac:dyDescent="0.3">
      <c r="A7" s="207" t="s">
        <v>1</v>
      </c>
      <c r="B7" s="820" t="s">
        <v>80</v>
      </c>
      <c r="C7" s="820"/>
      <c r="D7" s="820"/>
      <c r="E7" s="820"/>
    </row>
    <row r="8" spans="1:13" ht="24" customHeight="1" thickBot="1" x14ac:dyDescent="0.3">
      <c r="A8" s="207" t="s">
        <v>0</v>
      </c>
      <c r="B8" s="820" t="s">
        <v>125</v>
      </c>
      <c r="C8" s="820"/>
      <c r="D8" s="820"/>
      <c r="E8" s="820"/>
    </row>
    <row r="9" spans="1:13" ht="45" customHeight="1" x14ac:dyDescent="0.25">
      <c r="A9" s="208" t="s">
        <v>2</v>
      </c>
      <c r="B9" s="890" t="s">
        <v>676</v>
      </c>
      <c r="C9" s="889"/>
      <c r="D9" s="889"/>
      <c r="E9" s="889"/>
      <c r="G9" s="116" t="s">
        <v>240</v>
      </c>
      <c r="H9" s="116" t="s">
        <v>241</v>
      </c>
      <c r="I9" s="117" t="s">
        <v>242</v>
      </c>
      <c r="J9" s="116" t="s">
        <v>201</v>
      </c>
      <c r="K9" s="116" t="s">
        <v>243</v>
      </c>
      <c r="L9" s="116" t="s">
        <v>244</v>
      </c>
      <c r="M9" s="117" t="s">
        <v>202</v>
      </c>
    </row>
    <row r="10" spans="1:13" ht="15.75" x14ac:dyDescent="0.25">
      <c r="A10" s="208" t="s">
        <v>31</v>
      </c>
      <c r="B10" s="889"/>
      <c r="C10" s="889"/>
      <c r="D10" s="889"/>
      <c r="E10" s="889"/>
      <c r="G10" s="116">
        <v>100</v>
      </c>
      <c r="H10" s="116">
        <v>6</v>
      </c>
      <c r="I10" s="117">
        <v>437</v>
      </c>
      <c r="J10" s="116">
        <v>0.86</v>
      </c>
      <c r="K10" s="116">
        <v>2000</v>
      </c>
      <c r="L10" s="116">
        <v>750</v>
      </c>
      <c r="M10" s="117">
        <v>0.26100000000000001</v>
      </c>
    </row>
    <row r="11" spans="1:13" ht="30" customHeight="1" x14ac:dyDescent="0.25">
      <c r="A11" s="209" t="s">
        <v>16</v>
      </c>
      <c r="B11" s="874" t="s">
        <v>512</v>
      </c>
      <c r="C11" s="874"/>
      <c r="D11" s="874"/>
      <c r="E11" s="874"/>
    </row>
    <row r="12" spans="1:13" ht="30" customHeight="1" x14ac:dyDescent="0.25">
      <c r="A12" s="209" t="s">
        <v>3</v>
      </c>
      <c r="B12" s="874"/>
      <c r="C12" s="874"/>
      <c r="D12" s="874"/>
      <c r="E12" s="874"/>
    </row>
    <row r="13" spans="1:13" ht="30" customHeight="1" x14ac:dyDescent="0.25">
      <c r="A13" s="209" t="s">
        <v>17</v>
      </c>
      <c r="B13" s="874"/>
      <c r="C13" s="874"/>
      <c r="D13" s="874"/>
      <c r="E13" s="874"/>
    </row>
    <row r="14" spans="1:13" ht="30" customHeight="1" x14ac:dyDescent="0.25">
      <c r="A14" s="209" t="s">
        <v>4</v>
      </c>
      <c r="B14" s="874">
        <v>2015</v>
      </c>
      <c r="C14" s="874"/>
      <c r="D14" s="874"/>
      <c r="E14" s="874"/>
    </row>
    <row r="15" spans="1:13" ht="30" customHeight="1" x14ac:dyDescent="0.25">
      <c r="A15" s="209" t="s">
        <v>5</v>
      </c>
      <c r="B15" s="874">
        <v>2020</v>
      </c>
      <c r="C15" s="874"/>
      <c r="D15" s="874"/>
      <c r="E15" s="874"/>
    </row>
    <row r="16" spans="1:13" ht="30" customHeight="1" x14ac:dyDescent="0.25">
      <c r="A16" s="209" t="s">
        <v>6</v>
      </c>
      <c r="B16" s="845">
        <f>L10*G10*H10</f>
        <v>450000</v>
      </c>
      <c r="C16" s="845"/>
      <c r="D16" s="845"/>
      <c r="E16" s="845"/>
    </row>
    <row r="17" spans="1:9" ht="30" customHeight="1" x14ac:dyDescent="0.25">
      <c r="A17" s="209" t="s">
        <v>7</v>
      </c>
      <c r="B17" s="845">
        <f>G10*K10</f>
        <v>200000</v>
      </c>
      <c r="C17" s="845"/>
      <c r="D17" s="845"/>
      <c r="E17" s="845"/>
    </row>
    <row r="18" spans="1:9" ht="30" customHeight="1" x14ac:dyDescent="0.25">
      <c r="A18" s="210" t="s">
        <v>468</v>
      </c>
      <c r="B18" s="868">
        <f>G10*H10*I10</f>
        <v>262200</v>
      </c>
      <c r="C18" s="869"/>
      <c r="D18" s="869"/>
      <c r="E18" s="869"/>
      <c r="H18" s="2"/>
    </row>
    <row r="19" spans="1:9" ht="30" customHeight="1" x14ac:dyDescent="0.25">
      <c r="A19" s="238" t="s">
        <v>467</v>
      </c>
      <c r="B19" s="870">
        <f>G10*H10*I10</f>
        <v>262200</v>
      </c>
      <c r="C19" s="871"/>
      <c r="D19" s="871"/>
      <c r="E19" s="871"/>
      <c r="H19" s="2"/>
    </row>
    <row r="20" spans="1:9" ht="30" customHeight="1" x14ac:dyDescent="0.25">
      <c r="A20" s="209" t="s">
        <v>8</v>
      </c>
      <c r="B20" s="845">
        <f>B18*J10/10</f>
        <v>22549.200000000001</v>
      </c>
      <c r="C20" s="845"/>
      <c r="D20" s="845"/>
      <c r="E20" s="845"/>
    </row>
    <row r="21" spans="1:9" ht="30" customHeight="1" x14ac:dyDescent="0.25">
      <c r="A21" s="209" t="s">
        <v>9</v>
      </c>
      <c r="B21" s="845"/>
      <c r="C21" s="845"/>
      <c r="D21" s="845"/>
      <c r="E21" s="845"/>
    </row>
    <row r="22" spans="1:9" ht="30" customHeight="1" x14ac:dyDescent="0.25">
      <c r="A22" s="209" t="s">
        <v>465</v>
      </c>
      <c r="B22" s="846">
        <f>B16/(B20+B21)</f>
        <v>19.956362088233728</v>
      </c>
      <c r="C22" s="846"/>
      <c r="D22" s="846"/>
      <c r="E22" s="846"/>
    </row>
    <row r="23" spans="1:9" ht="30" customHeight="1" x14ac:dyDescent="0.25">
      <c r="A23" s="209" t="s">
        <v>466</v>
      </c>
      <c r="B23" s="847">
        <f>(B16-B17)/(B20+B21)</f>
        <v>11.086867826796516</v>
      </c>
      <c r="C23" s="847"/>
      <c r="D23" s="847"/>
      <c r="E23" s="847"/>
    </row>
    <row r="24" spans="1:9" ht="30" customHeight="1" x14ac:dyDescent="0.25">
      <c r="A24" s="211" t="s">
        <v>476</v>
      </c>
      <c r="B24" s="901">
        <f>B19/1000*M10</f>
        <v>68.434200000000004</v>
      </c>
      <c r="C24" s="901"/>
      <c r="D24" s="901"/>
      <c r="E24" s="901"/>
    </row>
    <row r="25" spans="1:9" ht="30" customHeight="1" x14ac:dyDescent="0.25">
      <c r="A25" s="212" t="s">
        <v>463</v>
      </c>
      <c r="B25" s="881">
        <f>B24/'Objectifs CO2'!C12</f>
        <v>1.983319902054612E-2</v>
      </c>
      <c r="C25" s="881"/>
      <c r="D25" s="881"/>
      <c r="E25" s="881"/>
    </row>
    <row r="26" spans="1:9" ht="30" customHeight="1" x14ac:dyDescent="0.25">
      <c r="A26" s="213" t="s">
        <v>464</v>
      </c>
      <c r="B26" s="881">
        <f>B24/'Objectifs CO2'!C8</f>
        <v>9.9165995102730598E-3</v>
      </c>
      <c r="C26" s="881"/>
      <c r="D26" s="881"/>
      <c r="E26" s="881"/>
    </row>
    <row r="27" spans="1:9" ht="30" customHeight="1" x14ac:dyDescent="0.25">
      <c r="A27" s="213" t="s">
        <v>24</v>
      </c>
      <c r="B27" s="853"/>
      <c r="C27" s="853"/>
      <c r="D27" s="853"/>
      <c r="E27" s="853"/>
    </row>
    <row r="28" spans="1:9" ht="30" customHeight="1" x14ac:dyDescent="0.25">
      <c r="A28" s="213" t="s">
        <v>418</v>
      </c>
      <c r="B28" s="853" t="s">
        <v>841</v>
      </c>
      <c r="C28" s="853"/>
      <c r="D28" s="853"/>
      <c r="E28" s="853"/>
    </row>
    <row r="30" spans="1:9" x14ac:dyDescent="0.25">
      <c r="B30" s="867" t="s">
        <v>530</v>
      </c>
      <c r="C30" s="867"/>
      <c r="D30" s="867"/>
      <c r="E30" s="143" t="s">
        <v>538</v>
      </c>
    </row>
    <row r="31" spans="1:9" x14ac:dyDescent="0.25">
      <c r="B31" s="864" t="s">
        <v>521</v>
      </c>
      <c r="C31" s="864"/>
      <c r="D31" s="864"/>
      <c r="E31" s="114"/>
      <c r="G31" s="866" t="s">
        <v>538</v>
      </c>
      <c r="H31" s="866"/>
      <c r="I31" s="866"/>
    </row>
    <row r="32" spans="1:9" x14ac:dyDescent="0.25">
      <c r="B32" s="864" t="s">
        <v>522</v>
      </c>
      <c r="C32" s="864"/>
      <c r="D32" s="864"/>
      <c r="E32" s="114"/>
      <c r="G32" s="252">
        <v>3</v>
      </c>
      <c r="H32" s="866" t="s">
        <v>535</v>
      </c>
      <c r="I32" s="866"/>
    </row>
    <row r="33" spans="2:9" x14ac:dyDescent="0.25">
      <c r="B33" s="864" t="s">
        <v>524</v>
      </c>
      <c r="C33" s="864"/>
      <c r="D33" s="864"/>
      <c r="E33" s="114"/>
      <c r="G33" s="252">
        <v>2</v>
      </c>
      <c r="H33" s="866" t="s">
        <v>536</v>
      </c>
      <c r="I33" s="866"/>
    </row>
    <row r="34" spans="2:9" x14ac:dyDescent="0.25">
      <c r="B34" s="864" t="s">
        <v>523</v>
      </c>
      <c r="C34" s="864"/>
      <c r="D34" s="864"/>
      <c r="E34" s="114"/>
      <c r="G34" s="252">
        <v>1</v>
      </c>
      <c r="H34" s="866" t="s">
        <v>537</v>
      </c>
      <c r="I34" s="866"/>
    </row>
    <row r="35" spans="2:9" x14ac:dyDescent="0.25">
      <c r="B35" s="864" t="s">
        <v>525</v>
      </c>
      <c r="C35" s="864"/>
      <c r="D35" s="864"/>
      <c r="E35" s="114"/>
    </row>
    <row r="36" spans="2:9" x14ac:dyDescent="0.25">
      <c r="B36" s="864" t="s">
        <v>526</v>
      </c>
      <c r="C36" s="864"/>
      <c r="D36" s="864"/>
      <c r="E36" s="114"/>
    </row>
    <row r="37" spans="2:9" x14ac:dyDescent="0.25">
      <c r="B37" s="864" t="s">
        <v>527</v>
      </c>
      <c r="C37" s="864"/>
      <c r="D37" s="864"/>
      <c r="E37" s="114"/>
    </row>
    <row r="38" spans="2:9" x14ac:dyDescent="0.25">
      <c r="B38" s="864" t="s">
        <v>528</v>
      </c>
      <c r="C38" s="864"/>
      <c r="D38" s="864"/>
      <c r="E38" s="114"/>
    </row>
    <row r="39" spans="2:9" x14ac:dyDescent="0.25">
      <c r="B39" s="864" t="s">
        <v>529</v>
      </c>
      <c r="C39" s="864"/>
      <c r="D39" s="864"/>
      <c r="E39" s="114"/>
      <c r="G39" s="863" t="s">
        <v>541</v>
      </c>
      <c r="H39" s="863"/>
      <c r="I39" s="863"/>
    </row>
    <row r="40" spans="2:9" x14ac:dyDescent="0.25">
      <c r="B40" s="865" t="s">
        <v>395</v>
      </c>
      <c r="C40" s="865"/>
      <c r="D40" s="865"/>
      <c r="E40" s="258">
        <f>SUM(E31:E39)</f>
        <v>0</v>
      </c>
      <c r="G40" s="254" t="s">
        <v>542</v>
      </c>
      <c r="H40" s="257" t="s">
        <v>543</v>
      </c>
      <c r="I40" s="254" t="s">
        <v>544</v>
      </c>
    </row>
    <row r="41" spans="2:9" x14ac:dyDescent="0.25">
      <c r="E41" s="202" t="s">
        <v>576</v>
      </c>
      <c r="G41" s="254" t="s">
        <v>545</v>
      </c>
      <c r="H41" s="254" t="s">
        <v>547</v>
      </c>
      <c r="I41" s="254" t="s">
        <v>546</v>
      </c>
    </row>
    <row r="43" spans="2:9" x14ac:dyDescent="0.25">
      <c r="B43" s="860" t="s">
        <v>520</v>
      </c>
      <c r="C43" s="861"/>
      <c r="D43" s="862"/>
      <c r="E43" s="251">
        <v>1</v>
      </c>
      <c r="G43" s="254">
        <v>1</v>
      </c>
      <c r="H43" s="254" t="s">
        <v>539</v>
      </c>
    </row>
    <row r="44" spans="2:9" x14ac:dyDescent="0.25">
      <c r="G44" s="254">
        <v>0</v>
      </c>
      <c r="H44" s="254" t="s">
        <v>540</v>
      </c>
    </row>
  </sheetData>
  <mergeCells count="45">
    <mergeCell ref="G6:I6"/>
    <mergeCell ref="B16:E16"/>
    <mergeCell ref="B17:E17"/>
    <mergeCell ref="B15:E15"/>
    <mergeCell ref="A2:E2"/>
    <mergeCell ref="C5:D5"/>
    <mergeCell ref="B7:E7"/>
    <mergeCell ref="B8:E8"/>
    <mergeCell ref="B9:E9"/>
    <mergeCell ref="B10:E10"/>
    <mergeCell ref="B11:E11"/>
    <mergeCell ref="B12:E12"/>
    <mergeCell ref="B13:E13"/>
    <mergeCell ref="B14:E14"/>
    <mergeCell ref="C4:D4"/>
    <mergeCell ref="B18:E18"/>
    <mergeCell ref="B19:E19"/>
    <mergeCell ref="B20:E20"/>
    <mergeCell ref="B21:E21"/>
    <mergeCell ref="B22:E22"/>
    <mergeCell ref="G31:I31"/>
    <mergeCell ref="B32:D32"/>
    <mergeCell ref="H32:I32"/>
    <mergeCell ref="B23:E23"/>
    <mergeCell ref="B24:E24"/>
    <mergeCell ref="B25:E25"/>
    <mergeCell ref="B28:E28"/>
    <mergeCell ref="B27:E27"/>
    <mergeCell ref="B26:E26"/>
    <mergeCell ref="B43:D43"/>
    <mergeCell ref="G4:I4"/>
    <mergeCell ref="G5:I5"/>
    <mergeCell ref="G39:I39"/>
    <mergeCell ref="B36:D36"/>
    <mergeCell ref="B37:D37"/>
    <mergeCell ref="B38:D38"/>
    <mergeCell ref="B39:D39"/>
    <mergeCell ref="B40:D40"/>
    <mergeCell ref="B33:D33"/>
    <mergeCell ref="H33:I33"/>
    <mergeCell ref="B34:D34"/>
    <mergeCell ref="H34:I34"/>
    <mergeCell ref="B35:D35"/>
    <mergeCell ref="B30:D30"/>
    <mergeCell ref="B31:D31"/>
  </mergeCells>
  <conditionalFormatting sqref="E5">
    <cfRule type="containsText" dxfId="110" priority="1" operator="containsText" text="Terminé">
      <formula>NOT(ISERROR(SEARCH("Terminé",E5)))</formula>
    </cfRule>
    <cfRule type="containsText" dxfId="109" priority="2" operator="containsText" text="En cours">
      <formula>NOT(ISERROR(SEARCH("En cours",E5)))</formula>
    </cfRule>
    <cfRule type="containsText" dxfId="108"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pageSetup paperSize="9" scale="9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44"/>
  <sheetViews>
    <sheetView topLeftCell="A4" zoomScaleNormal="100" zoomScaleSheetLayoutView="106"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1" ht="21" x14ac:dyDescent="0.35">
      <c r="A1" s="11" t="s">
        <v>87</v>
      </c>
      <c r="B1" s="11"/>
      <c r="C1" s="11"/>
      <c r="D1" s="11"/>
      <c r="E1" s="11"/>
    </row>
    <row r="2" spans="1:11" ht="26.25" x14ac:dyDescent="0.4">
      <c r="A2" s="856" t="s">
        <v>913</v>
      </c>
      <c r="B2" s="856"/>
      <c r="C2" s="856"/>
      <c r="D2" s="856"/>
      <c r="E2" s="856"/>
    </row>
    <row r="3" spans="1:11" ht="27" thickBot="1" x14ac:dyDescent="0.45">
      <c r="A3" s="113"/>
      <c r="B3" s="113"/>
      <c r="C3" s="113"/>
      <c r="D3" s="113"/>
      <c r="E3" s="113"/>
    </row>
    <row r="4" spans="1:11" ht="15.75" thickBot="1" x14ac:dyDescent="0.3">
      <c r="A4" s="12"/>
      <c r="B4" s="233" t="s">
        <v>469</v>
      </c>
      <c r="C4" s="851" t="s">
        <v>39</v>
      </c>
      <c r="D4" s="852"/>
      <c r="E4" s="175" t="s">
        <v>124</v>
      </c>
      <c r="G4" s="848" t="s">
        <v>914</v>
      </c>
      <c r="H4" s="848"/>
      <c r="I4" s="848"/>
    </row>
    <row r="5" spans="1:11" ht="15.75" x14ac:dyDescent="0.25">
      <c r="A5" s="381" t="s">
        <v>651</v>
      </c>
      <c r="B5" s="382" t="s">
        <v>657</v>
      </c>
      <c r="C5" s="820" t="s">
        <v>18</v>
      </c>
      <c r="D5" s="820"/>
      <c r="E5" s="176" t="s">
        <v>22</v>
      </c>
      <c r="G5" s="848" t="s">
        <v>915</v>
      </c>
      <c r="H5" s="848"/>
      <c r="I5" s="848"/>
    </row>
    <row r="6" spans="1:11" ht="16.5" thickBot="1" x14ac:dyDescent="0.3">
      <c r="A6" s="379" t="s">
        <v>660</v>
      </c>
      <c r="B6" s="380" t="s">
        <v>653</v>
      </c>
      <c r="C6" s="16"/>
      <c r="D6" s="16"/>
      <c r="E6" s="16"/>
      <c r="G6" s="850" t="s">
        <v>916</v>
      </c>
      <c r="H6" s="850"/>
      <c r="I6" s="850"/>
    </row>
    <row r="7" spans="1:11" ht="24" customHeight="1" thickBot="1" x14ac:dyDescent="0.3">
      <c r="A7" s="207" t="s">
        <v>1</v>
      </c>
      <c r="B7" s="820" t="s">
        <v>38</v>
      </c>
      <c r="C7" s="820"/>
      <c r="D7" s="820"/>
      <c r="E7" s="820"/>
    </row>
    <row r="8" spans="1:11" ht="24" customHeight="1" thickBot="1" x14ac:dyDescent="0.3">
      <c r="A8" s="207" t="s">
        <v>0</v>
      </c>
      <c r="B8" s="820" t="s">
        <v>126</v>
      </c>
      <c r="C8" s="820"/>
      <c r="D8" s="820"/>
      <c r="E8" s="820"/>
    </row>
    <row r="9" spans="1:11" ht="31.5" customHeight="1" x14ac:dyDescent="0.25">
      <c r="A9" s="208" t="s">
        <v>2</v>
      </c>
      <c r="B9" s="890" t="s">
        <v>127</v>
      </c>
      <c r="C9" s="889"/>
      <c r="D9" s="889"/>
      <c r="E9" s="889"/>
      <c r="G9" s="116" t="s">
        <v>245</v>
      </c>
      <c r="H9" s="117" t="s">
        <v>246</v>
      </c>
      <c r="I9" s="117" t="s">
        <v>247</v>
      </c>
      <c r="J9" s="117" t="s">
        <v>248</v>
      </c>
      <c r="K9" s="117" t="s">
        <v>249</v>
      </c>
    </row>
    <row r="10" spans="1:11" ht="36.75" customHeight="1" x14ac:dyDescent="0.25">
      <c r="A10" s="208" t="s">
        <v>31</v>
      </c>
      <c r="B10" s="917" t="s">
        <v>128</v>
      </c>
      <c r="C10" s="918"/>
      <c r="D10" s="918"/>
      <c r="E10" s="919"/>
      <c r="G10" s="118">
        <v>3000</v>
      </c>
      <c r="H10" s="119">
        <v>2600</v>
      </c>
      <c r="I10" s="119">
        <v>0.39</v>
      </c>
      <c r="J10" s="119">
        <v>0.53800000000000003</v>
      </c>
      <c r="K10" s="119">
        <v>0.46200000000000002</v>
      </c>
    </row>
    <row r="11" spans="1:11" ht="30" customHeight="1" x14ac:dyDescent="0.25">
      <c r="A11" s="209" t="s">
        <v>16</v>
      </c>
      <c r="B11" s="874" t="s">
        <v>39</v>
      </c>
      <c r="C11" s="874"/>
      <c r="D11" s="874"/>
      <c r="E11" s="874"/>
    </row>
    <row r="12" spans="1:11" ht="30" customHeight="1" x14ac:dyDescent="0.25">
      <c r="A12" s="209" t="s">
        <v>3</v>
      </c>
      <c r="B12" s="874"/>
      <c r="C12" s="874"/>
      <c r="D12" s="874"/>
      <c r="E12" s="874"/>
    </row>
    <row r="13" spans="1:11" ht="30" customHeight="1" x14ac:dyDescent="0.25">
      <c r="A13" s="209" t="s">
        <v>17</v>
      </c>
      <c r="B13" s="874"/>
      <c r="C13" s="874"/>
      <c r="D13" s="874"/>
      <c r="E13" s="874"/>
      <c r="G13" s="117" t="s">
        <v>250</v>
      </c>
      <c r="H13" s="117" t="s">
        <v>251</v>
      </c>
      <c r="I13" s="117" t="s">
        <v>202</v>
      </c>
      <c r="J13" s="117" t="s">
        <v>227</v>
      </c>
    </row>
    <row r="14" spans="1:11" ht="30" customHeight="1" x14ac:dyDescent="0.25">
      <c r="A14" s="209" t="s">
        <v>4</v>
      </c>
      <c r="B14" s="874">
        <v>2015</v>
      </c>
      <c r="C14" s="874"/>
      <c r="D14" s="874"/>
      <c r="E14" s="874"/>
      <c r="G14" s="119">
        <f>G10*I10*H10*J10</f>
        <v>1636596</v>
      </c>
      <c r="H14" s="119">
        <f>G10*I10*H10*K10</f>
        <v>1405404</v>
      </c>
      <c r="I14" s="119">
        <v>0.26100000000000001</v>
      </c>
      <c r="J14" s="119">
        <v>0.36499999999999999</v>
      </c>
    </row>
    <row r="15" spans="1:11" ht="30" customHeight="1" x14ac:dyDescent="0.25">
      <c r="A15" s="209" t="s">
        <v>5</v>
      </c>
      <c r="B15" s="874">
        <v>2020</v>
      </c>
      <c r="C15" s="874"/>
      <c r="D15" s="874"/>
      <c r="E15" s="874"/>
    </row>
    <row r="16" spans="1:11" ht="30" customHeight="1" x14ac:dyDescent="0.25">
      <c r="A16" s="209" t="s">
        <v>6</v>
      </c>
      <c r="B16" s="948">
        <v>15000000</v>
      </c>
      <c r="C16" s="948"/>
      <c r="D16" s="948"/>
      <c r="E16" s="948"/>
      <c r="G16" s="118" t="s">
        <v>252</v>
      </c>
      <c r="H16" s="118" t="s">
        <v>161</v>
      </c>
      <c r="I16" s="116" t="s">
        <v>450</v>
      </c>
    </row>
    <row r="17" spans="1:9" ht="30" customHeight="1" x14ac:dyDescent="0.25">
      <c r="A17" s="209" t="s">
        <v>7</v>
      </c>
      <c r="B17" s="948">
        <v>7500000</v>
      </c>
      <c r="C17" s="948"/>
      <c r="D17" s="948"/>
      <c r="E17" s="948"/>
      <c r="G17" s="118">
        <v>0.04</v>
      </c>
      <c r="H17" s="118">
        <v>0.86</v>
      </c>
      <c r="I17" s="116">
        <v>65</v>
      </c>
    </row>
    <row r="18" spans="1:9" ht="30" customHeight="1" x14ac:dyDescent="0.25">
      <c r="A18" s="210" t="s">
        <v>468</v>
      </c>
      <c r="B18" s="868">
        <f>B19</f>
        <v>3042000</v>
      </c>
      <c r="C18" s="869"/>
      <c r="D18" s="869"/>
      <c r="E18" s="869"/>
      <c r="G18" s="2"/>
      <c r="H18" s="2"/>
    </row>
    <row r="19" spans="1:9" ht="30" customHeight="1" x14ac:dyDescent="0.25">
      <c r="A19" s="238" t="s">
        <v>467</v>
      </c>
      <c r="B19" s="870">
        <f>G10*I10*H10</f>
        <v>3042000</v>
      </c>
      <c r="C19" s="871"/>
      <c r="D19" s="871"/>
      <c r="E19" s="871"/>
      <c r="G19" s="2"/>
      <c r="H19" s="2"/>
    </row>
    <row r="20" spans="1:9" ht="30" customHeight="1" x14ac:dyDescent="0.25">
      <c r="A20" s="209" t="s">
        <v>8</v>
      </c>
      <c r="B20" s="845">
        <f>G14*G17+H14/10*H17</f>
        <v>186328.584</v>
      </c>
      <c r="C20" s="845"/>
      <c r="D20" s="845"/>
      <c r="E20" s="845"/>
      <c r="G20" s="2"/>
      <c r="H20" s="2"/>
    </row>
    <row r="21" spans="1:9" ht="30" customHeight="1" x14ac:dyDescent="0.25">
      <c r="A21" s="209" t="s">
        <v>9</v>
      </c>
      <c r="B21" s="845">
        <f>B19/1000*I17</f>
        <v>197730</v>
      </c>
      <c r="C21" s="845"/>
      <c r="D21" s="845"/>
      <c r="E21" s="845"/>
      <c r="G21" s="2"/>
      <c r="H21" s="2"/>
    </row>
    <row r="22" spans="1:9" ht="30" customHeight="1" x14ac:dyDescent="0.25">
      <c r="A22" s="209" t="s">
        <v>465</v>
      </c>
      <c r="B22" s="846">
        <f>B16/(B20+B21)</f>
        <v>39.056541436397104</v>
      </c>
      <c r="C22" s="846"/>
      <c r="D22" s="846"/>
      <c r="E22" s="846"/>
      <c r="G22" s="2"/>
      <c r="H22" s="2"/>
    </row>
    <row r="23" spans="1:9" ht="30" customHeight="1" x14ac:dyDescent="0.25">
      <c r="A23" s="209" t="s">
        <v>466</v>
      </c>
      <c r="B23" s="847">
        <f>(B16-B17)/(B20+B21)</f>
        <v>19.528270718198552</v>
      </c>
      <c r="C23" s="847"/>
      <c r="D23" s="847"/>
      <c r="E23" s="847"/>
      <c r="G23" s="2"/>
      <c r="H23" s="2"/>
    </row>
    <row r="24" spans="1:9" ht="30" customHeight="1" x14ac:dyDescent="0.25">
      <c r="A24" s="211" t="s">
        <v>476</v>
      </c>
      <c r="B24" s="901">
        <f>(G14/1000*J14)+(H14/1000*I14)</f>
        <v>964.16798399999993</v>
      </c>
      <c r="C24" s="901"/>
      <c r="D24" s="901"/>
      <c r="E24" s="901"/>
      <c r="G24" s="2"/>
      <c r="H24" s="2"/>
    </row>
    <row r="25" spans="1:9" ht="30" customHeight="1" x14ac:dyDescent="0.25">
      <c r="A25" s="212" t="s">
        <v>463</v>
      </c>
      <c r="B25" s="881">
        <f>B24/'Objectifs CO2'!C10</f>
        <v>1.3971475896489418</v>
      </c>
      <c r="C25" s="881"/>
      <c r="D25" s="881"/>
      <c r="E25" s="881"/>
      <c r="G25" s="2"/>
      <c r="H25" s="2"/>
    </row>
    <row r="26" spans="1:9" ht="30" customHeight="1" x14ac:dyDescent="0.25">
      <c r="A26" s="213" t="s">
        <v>464</v>
      </c>
      <c r="B26" s="881">
        <f>B24/'Objectifs CO2'!C8</f>
        <v>0.13971475896489419</v>
      </c>
      <c r="C26" s="881"/>
      <c r="D26" s="881"/>
      <c r="E26" s="881"/>
      <c r="G26" s="2"/>
      <c r="H26" s="2"/>
    </row>
    <row r="27" spans="1:9" ht="30" customHeight="1" x14ac:dyDescent="0.25">
      <c r="A27" s="213" t="s">
        <v>24</v>
      </c>
      <c r="B27" s="874"/>
      <c r="C27" s="874"/>
      <c r="D27" s="874"/>
      <c r="E27" s="874"/>
    </row>
    <row r="28" spans="1:9" ht="30" customHeight="1" x14ac:dyDescent="0.25">
      <c r="A28" s="213" t="s">
        <v>418</v>
      </c>
      <c r="B28" s="938" t="s">
        <v>443</v>
      </c>
      <c r="C28" s="939"/>
      <c r="D28" s="939"/>
      <c r="E28" s="940"/>
      <c r="F28" s="37" t="s">
        <v>444</v>
      </c>
    </row>
    <row r="30" spans="1:9" x14ac:dyDescent="0.25">
      <c r="B30" s="867" t="s">
        <v>530</v>
      </c>
      <c r="C30" s="867"/>
      <c r="D30" s="867"/>
      <c r="E30" s="143" t="s">
        <v>538</v>
      </c>
    </row>
    <row r="31" spans="1:9" x14ac:dyDescent="0.25">
      <c r="B31" s="864" t="s">
        <v>521</v>
      </c>
      <c r="C31" s="864"/>
      <c r="D31" s="864"/>
      <c r="E31" s="114"/>
      <c r="G31" s="866" t="s">
        <v>538</v>
      </c>
      <c r="H31" s="866"/>
      <c r="I31" s="866"/>
    </row>
    <row r="32" spans="1:9" x14ac:dyDescent="0.25">
      <c r="B32" s="864" t="s">
        <v>522</v>
      </c>
      <c r="C32" s="864"/>
      <c r="D32" s="864"/>
      <c r="E32" s="114"/>
      <c r="G32" s="252">
        <v>3</v>
      </c>
      <c r="H32" s="866" t="s">
        <v>535</v>
      </c>
      <c r="I32" s="866"/>
    </row>
    <row r="33" spans="2:9" x14ac:dyDescent="0.25">
      <c r="B33" s="864" t="s">
        <v>524</v>
      </c>
      <c r="C33" s="864"/>
      <c r="D33" s="864"/>
      <c r="E33" s="114"/>
      <c r="G33" s="252">
        <v>2</v>
      </c>
      <c r="H33" s="866" t="s">
        <v>536</v>
      </c>
      <c r="I33" s="866"/>
    </row>
    <row r="34" spans="2:9" x14ac:dyDescent="0.25">
      <c r="B34" s="864" t="s">
        <v>523</v>
      </c>
      <c r="C34" s="864"/>
      <c r="D34" s="864"/>
      <c r="E34" s="114"/>
      <c r="G34" s="252">
        <v>1</v>
      </c>
      <c r="H34" s="866" t="s">
        <v>537</v>
      </c>
      <c r="I34" s="866"/>
    </row>
    <row r="35" spans="2:9" x14ac:dyDescent="0.25">
      <c r="B35" s="864" t="s">
        <v>525</v>
      </c>
      <c r="C35" s="864"/>
      <c r="D35" s="864"/>
      <c r="E35" s="114"/>
    </row>
    <row r="36" spans="2:9" x14ac:dyDescent="0.25">
      <c r="B36" s="864" t="s">
        <v>526</v>
      </c>
      <c r="C36" s="864"/>
      <c r="D36" s="864"/>
      <c r="E36" s="114"/>
    </row>
    <row r="37" spans="2:9" x14ac:dyDescent="0.25">
      <c r="B37" s="864" t="s">
        <v>527</v>
      </c>
      <c r="C37" s="864"/>
      <c r="D37" s="864"/>
      <c r="E37" s="114"/>
    </row>
    <row r="38" spans="2:9" x14ac:dyDescent="0.25">
      <c r="B38" s="864" t="s">
        <v>528</v>
      </c>
      <c r="C38" s="864"/>
      <c r="D38" s="864"/>
      <c r="E38" s="114"/>
    </row>
    <row r="39" spans="2:9" x14ac:dyDescent="0.25">
      <c r="B39" s="864" t="s">
        <v>529</v>
      </c>
      <c r="C39" s="864"/>
      <c r="D39" s="864"/>
      <c r="E39" s="114"/>
      <c r="G39" s="863" t="s">
        <v>541</v>
      </c>
      <c r="H39" s="863"/>
      <c r="I39" s="863"/>
    </row>
    <row r="40" spans="2:9" x14ac:dyDescent="0.25">
      <c r="B40" s="865" t="s">
        <v>395</v>
      </c>
      <c r="C40" s="865"/>
      <c r="D40" s="865"/>
      <c r="E40" s="258">
        <f>SUM(E31:E39)</f>
        <v>0</v>
      </c>
      <c r="G40" s="254" t="s">
        <v>542</v>
      </c>
      <c r="H40" s="257" t="s">
        <v>543</v>
      </c>
      <c r="I40" s="254" t="s">
        <v>544</v>
      </c>
    </row>
    <row r="41" spans="2:9" x14ac:dyDescent="0.25">
      <c r="E41" s="202" t="s">
        <v>576</v>
      </c>
      <c r="G41" s="254" t="s">
        <v>545</v>
      </c>
      <c r="H41" s="254" t="s">
        <v>547</v>
      </c>
      <c r="I41" s="254" t="s">
        <v>546</v>
      </c>
    </row>
    <row r="43" spans="2:9" x14ac:dyDescent="0.25">
      <c r="B43" s="860" t="s">
        <v>520</v>
      </c>
      <c r="C43" s="861"/>
      <c r="D43" s="862"/>
      <c r="E43" s="251">
        <v>1</v>
      </c>
      <c r="G43" s="254">
        <v>1</v>
      </c>
      <c r="H43" s="254" t="s">
        <v>539</v>
      </c>
    </row>
    <row r="44" spans="2:9" x14ac:dyDescent="0.25">
      <c r="G44" s="254">
        <v>0</v>
      </c>
      <c r="H44" s="254" t="s">
        <v>540</v>
      </c>
    </row>
  </sheetData>
  <mergeCells count="45">
    <mergeCell ref="G6:I6"/>
    <mergeCell ref="B16:E16"/>
    <mergeCell ref="B17:E17"/>
    <mergeCell ref="B15:E15"/>
    <mergeCell ref="A2:E2"/>
    <mergeCell ref="C5:D5"/>
    <mergeCell ref="B7:E7"/>
    <mergeCell ref="B8:E8"/>
    <mergeCell ref="B9:E9"/>
    <mergeCell ref="B10:E10"/>
    <mergeCell ref="B11:E11"/>
    <mergeCell ref="B12:E12"/>
    <mergeCell ref="B13:E13"/>
    <mergeCell ref="B14:E14"/>
    <mergeCell ref="C4:D4"/>
    <mergeCell ref="B18:E18"/>
    <mergeCell ref="B19:E19"/>
    <mergeCell ref="B20:E20"/>
    <mergeCell ref="B21:E21"/>
    <mergeCell ref="B22:E22"/>
    <mergeCell ref="G31:I31"/>
    <mergeCell ref="B32:D32"/>
    <mergeCell ref="H32:I32"/>
    <mergeCell ref="B23:E23"/>
    <mergeCell ref="B24:E24"/>
    <mergeCell ref="B25:E25"/>
    <mergeCell ref="B28:E28"/>
    <mergeCell ref="B27:E27"/>
    <mergeCell ref="B26:E26"/>
    <mergeCell ref="B43:D43"/>
    <mergeCell ref="G4:I4"/>
    <mergeCell ref="G5:I5"/>
    <mergeCell ref="G39:I39"/>
    <mergeCell ref="B36:D36"/>
    <mergeCell ref="B37:D37"/>
    <mergeCell ref="B38:D38"/>
    <mergeCell ref="B39:D39"/>
    <mergeCell ref="B40:D40"/>
    <mergeCell ref="B33:D33"/>
    <mergeCell ref="H33:I33"/>
    <mergeCell ref="B34:D34"/>
    <mergeCell ref="H34:I34"/>
    <mergeCell ref="B35:D35"/>
    <mergeCell ref="B30:D30"/>
    <mergeCell ref="B31:D31"/>
  </mergeCells>
  <conditionalFormatting sqref="E5">
    <cfRule type="containsText" dxfId="107" priority="1" operator="containsText" text="Terminé">
      <formula>NOT(ISERROR(SEARCH("Terminé",E5)))</formula>
    </cfRule>
    <cfRule type="containsText" dxfId="106" priority="2" operator="containsText" text="En cours">
      <formula>NOT(ISERROR(SEARCH("En cours",E5)))</formula>
    </cfRule>
    <cfRule type="containsText" dxfId="105"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pageSetup paperSize="9" scale="9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133"/>
  <sheetViews>
    <sheetView view="pageBreakPreview" topLeftCell="L1" zoomScale="130" zoomScaleNormal="100" zoomScaleSheetLayoutView="130" workbookViewId="0">
      <selection activeCell="B16" sqref="B16:E16"/>
    </sheetView>
  </sheetViews>
  <sheetFormatPr baseColWidth="10" defaultRowHeight="15" x14ac:dyDescent="0.25"/>
  <cols>
    <col min="1" max="1" width="10.5703125" style="784" customWidth="1"/>
    <col min="2" max="2" width="26.140625" style="80" customWidth="1"/>
    <col min="3" max="3" width="31.7109375" style="80" customWidth="1"/>
    <col min="4" max="4" width="14.7109375" style="80" customWidth="1"/>
    <col min="5" max="5" width="12.7109375" style="80" bestFit="1" customWidth="1"/>
    <col min="6" max="6" width="12.7109375" style="80" customWidth="1"/>
    <col min="7" max="7" width="14.42578125" style="109" bestFit="1" customWidth="1"/>
    <col min="8" max="8" width="9.42578125" style="109" customWidth="1"/>
    <col min="9" max="9" width="13.28515625" style="109" bestFit="1" customWidth="1"/>
    <col min="10" max="10" width="12.7109375" style="109" bestFit="1" customWidth="1"/>
    <col min="11" max="11" width="8.85546875" style="109" customWidth="1"/>
    <col min="12" max="12" width="14.7109375" style="80" bestFit="1" customWidth="1"/>
    <col min="13" max="13" width="12.7109375" style="80" customWidth="1"/>
    <col min="14" max="14" width="5.85546875" style="80" customWidth="1"/>
    <col min="15" max="15" width="17.42578125" style="80" bestFit="1" customWidth="1"/>
    <col min="16" max="16" width="10" style="80" customWidth="1"/>
    <col min="17" max="17" width="10" style="658" customWidth="1"/>
    <col min="18" max="16384" width="11.42578125" style="80"/>
  </cols>
  <sheetData>
    <row r="1" spans="1:24" s="244" customFormat="1" ht="60" x14ac:dyDescent="0.25">
      <c r="A1" s="260" t="s">
        <v>25</v>
      </c>
      <c r="B1" s="260" t="s">
        <v>1</v>
      </c>
      <c r="C1" s="260" t="s">
        <v>0</v>
      </c>
      <c r="D1" s="260" t="s">
        <v>26</v>
      </c>
      <c r="E1" s="260" t="s">
        <v>16</v>
      </c>
      <c r="F1" s="260" t="s">
        <v>782</v>
      </c>
      <c r="G1" s="261" t="s">
        <v>27</v>
      </c>
      <c r="H1" s="261" t="s">
        <v>783</v>
      </c>
      <c r="I1" s="261" t="s">
        <v>7</v>
      </c>
      <c r="J1" s="261" t="s">
        <v>8</v>
      </c>
      <c r="K1" s="261" t="s">
        <v>28</v>
      </c>
      <c r="L1" s="260" t="s">
        <v>29</v>
      </c>
      <c r="M1" s="260" t="s">
        <v>75</v>
      </c>
      <c r="N1" s="260"/>
      <c r="O1" s="262" t="s">
        <v>18</v>
      </c>
      <c r="P1" s="262" t="s">
        <v>5</v>
      </c>
      <c r="Q1" s="651" t="s">
        <v>921</v>
      </c>
      <c r="R1" s="263" t="s">
        <v>570</v>
      </c>
      <c r="S1" s="263" t="s">
        <v>571</v>
      </c>
      <c r="T1" s="263" t="s">
        <v>918</v>
      </c>
      <c r="U1" s="263" t="s">
        <v>572</v>
      </c>
      <c r="V1" s="263" t="s">
        <v>573</v>
      </c>
      <c r="W1" s="263" t="s">
        <v>574</v>
      </c>
      <c r="X1" s="263" t="s">
        <v>575</v>
      </c>
    </row>
    <row r="2" spans="1:24" s="417" customFormat="1" x14ac:dyDescent="0.25">
      <c r="A2" s="768" t="s">
        <v>181</v>
      </c>
      <c r="B2" s="409" t="str">
        <f>'ADO-1'!$B$7</f>
        <v>PAED</v>
      </c>
      <c r="C2" s="409" t="str">
        <f>'ADO-1'!B8</f>
        <v>Engagement d'un Eco-passeur</v>
      </c>
      <c r="D2" s="409" t="str">
        <f>'ADO-1'!$C$4</f>
        <v>Territoire</v>
      </c>
      <c r="E2" s="409" t="str">
        <f>'ADO-1'!$B$11</f>
        <v>AC HABAY</v>
      </c>
      <c r="F2" s="409" t="str">
        <f>'ADO-1'!$B$5</f>
        <v>Fonds propres</v>
      </c>
      <c r="G2" s="410">
        <f>'ADO-1'!$B$16</f>
        <v>63000</v>
      </c>
      <c r="H2" s="409" t="str">
        <f>'ADO-1'!$B$6</f>
        <v>Subs RW</v>
      </c>
      <c r="I2" s="410">
        <f>'ADO-1'!$B$17</f>
        <v>0</v>
      </c>
      <c r="J2" s="410">
        <f>'ADO-1'!$B$20</f>
        <v>1</v>
      </c>
      <c r="K2" s="410">
        <f>'ADO-1'!$B$21</f>
        <v>0</v>
      </c>
      <c r="L2" s="419">
        <f>'ADO-1'!$B$23</f>
        <v>63000</v>
      </c>
      <c r="M2" s="420">
        <f>'ADO-1'!$B$19/1000</f>
        <v>0</v>
      </c>
      <c r="N2" s="413">
        <f>IF(G2=0,0,M2/(G2-I2)*1000)</f>
        <v>0</v>
      </c>
      <c r="O2" s="414" t="str">
        <f>'ADO-1'!$E$5</f>
        <v>Terminé</v>
      </c>
      <c r="P2" s="415">
        <f>'ADO-1'!$B$15</f>
        <v>2015</v>
      </c>
      <c r="Q2" s="247">
        <f>IF(O2="Terminé",M2,0)</f>
        <v>0</v>
      </c>
      <c r="R2" s="416">
        <f>IF(O2="Terminé",M2,0)</f>
        <v>0</v>
      </c>
      <c r="S2" s="416">
        <f>IF(D2="Agriculture",R2,0)</f>
        <v>0</v>
      </c>
      <c r="T2" s="416">
        <f>IF(D2="Industrie", R2,0)</f>
        <v>0</v>
      </c>
      <c r="U2" s="416">
        <f>IF(D2="Logement", R2,0)</f>
        <v>0</v>
      </c>
      <c r="V2" s="416">
        <f>IF(D2="Tertiaire",R2,0)</f>
        <v>0</v>
      </c>
      <c r="W2" s="416">
        <f>IF(D2="Transport",R2,0)</f>
        <v>0</v>
      </c>
      <c r="X2" s="416">
        <f>IF(D2="Communal",R2,0)</f>
        <v>0</v>
      </c>
    </row>
    <row r="3" spans="1:24" s="417" customFormat="1" x14ac:dyDescent="0.25">
      <c r="A3" s="768" t="s">
        <v>182</v>
      </c>
      <c r="B3" s="409" t="str">
        <f>'ADO-2'!$B$7</f>
        <v>Formation et Information</v>
      </c>
      <c r="C3" s="409" t="str">
        <f>'ADO-2'!B8</f>
        <v>Information isolation des bâtiments</v>
      </c>
      <c r="D3" s="409" t="str">
        <f>'ADO-2'!$C$4</f>
        <v>Territoire</v>
      </c>
      <c r="E3" s="409" t="str">
        <f>'ADO-2'!$B$11</f>
        <v>AC HABAY</v>
      </c>
      <c r="F3" s="409" t="str">
        <f>'ADO-2'!$B$5</f>
        <v>Pas de financement</v>
      </c>
      <c r="G3" s="410">
        <f>'ADO-2'!$B$16</f>
        <v>0</v>
      </c>
      <c r="H3" s="409" t="str">
        <f>'ADO-2'!$B$6</f>
        <v>Pas de subside</v>
      </c>
      <c r="I3" s="410">
        <f>'ADO-2'!$B$17</f>
        <v>0</v>
      </c>
      <c r="J3" s="410">
        <f>'ADO-2'!$B$20</f>
        <v>1</v>
      </c>
      <c r="K3" s="410">
        <f>'ADO-2'!$B$21</f>
        <v>0</v>
      </c>
      <c r="L3" s="419">
        <f>'ADO-2'!$B$23</f>
        <v>0</v>
      </c>
      <c r="M3" s="420">
        <f>'ADO-2'!$B$19/1000</f>
        <v>0</v>
      </c>
      <c r="N3" s="413">
        <f>IF(G3=0,0,M3/(G3-I3)*1000)</f>
        <v>0</v>
      </c>
      <c r="O3" s="414" t="str">
        <f>'ADO-2'!$E$5</f>
        <v>En cours</v>
      </c>
      <c r="P3" s="421">
        <f>'ADO-2'!$B$15</f>
        <v>2017</v>
      </c>
      <c r="Q3" s="247">
        <f t="shared" ref="Q3:Q95" si="0">IF(O3="Terminé",M3,0)</f>
        <v>0</v>
      </c>
      <c r="R3" s="416">
        <f>IF(O3="Terminé",M3,0)</f>
        <v>0</v>
      </c>
      <c r="S3" s="416">
        <f>IF(D3="Agriculture",R3,0)</f>
        <v>0</v>
      </c>
      <c r="T3" s="416">
        <f>IF(D3="Industrie", R3,0)</f>
        <v>0</v>
      </c>
      <c r="U3" s="416">
        <f>IF(D3="Logement", R3,0)</f>
        <v>0</v>
      </c>
      <c r="V3" s="416">
        <f>IF(D3="Tertiaire",R3,0)</f>
        <v>0</v>
      </c>
      <c r="W3" s="416">
        <f>IF(D3="Transport",R3,0)</f>
        <v>0</v>
      </c>
      <c r="X3" s="416">
        <f>IF(D3="Communal",R3,0)</f>
        <v>0</v>
      </c>
    </row>
    <row r="4" spans="1:24" s="417" customFormat="1" x14ac:dyDescent="0.25">
      <c r="A4" s="768" t="s">
        <v>183</v>
      </c>
      <c r="B4" s="409" t="str">
        <f>'ADO-3'!$B$7</f>
        <v>Formation et Information</v>
      </c>
      <c r="C4" s="409" t="str">
        <f>'ADO-3'!$B$8</f>
        <v>Formation Eco Guide - Energie</v>
      </c>
      <c r="D4" s="409" t="str">
        <f>'ADO-3'!$C$4</f>
        <v>Communal</v>
      </c>
      <c r="E4" s="409" t="str">
        <f>'ADO-3'!$B$11</f>
        <v>AC HABAY</v>
      </c>
      <c r="F4" s="409" t="str">
        <f>'ADO-3'!$B$5</f>
        <v>Fonds propres</v>
      </c>
      <c r="G4" s="410">
        <f>'ADO-3'!$B$16</f>
        <v>1000</v>
      </c>
      <c r="H4" s="409" t="str">
        <f>'ADO-3'!$B$6</f>
        <v>Pas de subside</v>
      </c>
      <c r="I4" s="410">
        <f>'ADO-3'!$B$17</f>
        <v>0</v>
      </c>
      <c r="J4" s="410">
        <f>'ADO-3'!$B$20</f>
        <v>1</v>
      </c>
      <c r="K4" s="410">
        <f>'ADO-3'!$B$21</f>
        <v>0</v>
      </c>
      <c r="L4" s="419">
        <f>'ADO-3'!$B$23</f>
        <v>1000</v>
      </c>
      <c r="M4" s="420">
        <f>'ADO-3'!$B$19/1000</f>
        <v>0</v>
      </c>
      <c r="N4" s="413"/>
      <c r="O4" s="414" t="str">
        <f>'ADO-3'!$E$5</f>
        <v>A faire</v>
      </c>
      <c r="P4" s="421">
        <f>'ADO-3'!$B$15</f>
        <v>2020</v>
      </c>
      <c r="Q4" s="247">
        <f t="shared" si="0"/>
        <v>0</v>
      </c>
      <c r="R4" s="416">
        <f t="shared" ref="R4:R66" si="1">IF(O4="Terminé",M4,0)</f>
        <v>0</v>
      </c>
      <c r="S4" s="416">
        <f t="shared" ref="S4:S66" si="2">IF(D4="Agriculture",R4,0)</f>
        <v>0</v>
      </c>
      <c r="T4" s="416">
        <f t="shared" ref="T4:T66" si="3">IF(D4="Industrie", R4,0)</f>
        <v>0</v>
      </c>
      <c r="U4" s="416">
        <f t="shared" ref="U4:U66" si="4">IF(D4="Logement", R4,0)</f>
        <v>0</v>
      </c>
      <c r="V4" s="416">
        <f t="shared" ref="V4:V66" si="5">IF(D4="Tertiaire",R4,0)</f>
        <v>0</v>
      </c>
      <c r="W4" s="416">
        <f t="shared" ref="W4:W66" si="6">IF(D4="Transport",R4,0)</f>
        <v>0</v>
      </c>
      <c r="X4" s="416">
        <f t="shared" ref="X4:X66" si="7">IF(D4="Communal",R4,0)</f>
        <v>0</v>
      </c>
    </row>
    <row r="5" spans="1:24" s="417" customFormat="1" x14ac:dyDescent="0.25">
      <c r="A5" s="768" t="s">
        <v>190</v>
      </c>
      <c r="B5" s="409" t="str">
        <f>'ADO-4'!$B$7</f>
        <v>PAED</v>
      </c>
      <c r="C5" s="409" t="str">
        <f>'ADO-4'!$B$8</f>
        <v>Création d'un comité de pilotage</v>
      </c>
      <c r="D5" s="409" t="str">
        <f>'ADO-4'!$C$4</f>
        <v>Territoire</v>
      </c>
      <c r="E5" s="409" t="str">
        <f>'ADO-4'!$B$11</f>
        <v>AC HABAY</v>
      </c>
      <c r="F5" s="409" t="str">
        <f>'ADO-4'!$B$5</f>
        <v>Fonds propres</v>
      </c>
      <c r="G5" s="410">
        <f>'ADO-4'!$B$16</f>
        <v>14000</v>
      </c>
      <c r="H5" s="409" t="str">
        <f>'ADO-4'!$B$6</f>
        <v>Pas de subside</v>
      </c>
      <c r="I5" s="410">
        <f>'ADO-4'!$B$17</f>
        <v>0</v>
      </c>
      <c r="J5" s="410">
        <f>'ADO-4'!$B$20</f>
        <v>1</v>
      </c>
      <c r="K5" s="410">
        <f>'ADO-4'!$B$21</f>
        <v>0</v>
      </c>
      <c r="L5" s="419">
        <f>'ADO-4'!$B$23</f>
        <v>14000</v>
      </c>
      <c r="M5" s="420">
        <f>'ADO-4'!$B$19/1000</f>
        <v>0</v>
      </c>
      <c r="N5" s="413"/>
      <c r="O5" s="414" t="str">
        <f>'ADO-4'!$E$5</f>
        <v>Terminé</v>
      </c>
      <c r="P5" s="421">
        <f>'ADO-4'!$B$15</f>
        <v>2014</v>
      </c>
      <c r="Q5" s="247">
        <f t="shared" si="0"/>
        <v>0</v>
      </c>
      <c r="R5" s="416">
        <f t="shared" si="1"/>
        <v>0</v>
      </c>
      <c r="S5" s="416">
        <f t="shared" si="2"/>
        <v>0</v>
      </c>
      <c r="T5" s="416">
        <f t="shared" si="3"/>
        <v>0</v>
      </c>
      <c r="U5" s="416">
        <f t="shared" si="4"/>
        <v>0</v>
      </c>
      <c r="V5" s="416">
        <f t="shared" si="5"/>
        <v>0</v>
      </c>
      <c r="W5" s="416">
        <f t="shared" si="6"/>
        <v>0</v>
      </c>
      <c r="X5" s="416">
        <f t="shared" si="7"/>
        <v>0</v>
      </c>
    </row>
    <row r="6" spans="1:24" s="417" customFormat="1" x14ac:dyDescent="0.25">
      <c r="A6" s="768" t="s">
        <v>180</v>
      </c>
      <c r="B6" s="409" t="str">
        <f>'ADO-5'!$B$7</f>
        <v>Centrale d'achat</v>
      </c>
      <c r="C6" s="409" t="str">
        <f>'ADO-5'!$B$8</f>
        <v>Mise en place d'une centrale d'achat</v>
      </c>
      <c r="D6" s="409" t="str">
        <f>'ADO-5'!$C$4</f>
        <v>Territoire</v>
      </c>
      <c r="E6" s="409" t="str">
        <f>'ADO-5'!$B$11</f>
        <v>Citoyen</v>
      </c>
      <c r="F6" s="409" t="str">
        <f>'ADO-5'!$B$5</f>
        <v>Pas de financement</v>
      </c>
      <c r="G6" s="410">
        <f>'ADO-5'!$B$16</f>
        <v>0</v>
      </c>
      <c r="H6" s="409" t="str">
        <f>'ADO-5'!$B$6</f>
        <v>Pas de subside</v>
      </c>
      <c r="I6" s="410">
        <f>'ADO-5'!$B$17</f>
        <v>0</v>
      </c>
      <c r="J6" s="410">
        <f>'ADO-5'!$B$20</f>
        <v>1</v>
      </c>
      <c r="K6" s="410">
        <f>'ADO-5'!$B$21</f>
        <v>0</v>
      </c>
      <c r="L6" s="419">
        <f>'ADO-5'!$B$23</f>
        <v>0</v>
      </c>
      <c r="M6" s="420">
        <f>'ADO-5'!$B$19/1000</f>
        <v>0</v>
      </c>
      <c r="N6" s="413"/>
      <c r="O6" s="414" t="str">
        <f>'ADO-5'!$E$5</f>
        <v>Terminé</v>
      </c>
      <c r="P6" s="421">
        <f>'ADO-5'!$B$15</f>
        <v>2020</v>
      </c>
      <c r="Q6" s="247">
        <f t="shared" si="0"/>
        <v>0</v>
      </c>
      <c r="R6" s="416">
        <f t="shared" si="1"/>
        <v>0</v>
      </c>
      <c r="S6" s="416">
        <f t="shared" si="2"/>
        <v>0</v>
      </c>
      <c r="T6" s="416">
        <f t="shared" si="3"/>
        <v>0</v>
      </c>
      <c r="U6" s="416">
        <f t="shared" si="4"/>
        <v>0</v>
      </c>
      <c r="V6" s="416">
        <f t="shared" si="5"/>
        <v>0</v>
      </c>
      <c r="W6" s="416">
        <f t="shared" si="6"/>
        <v>0</v>
      </c>
      <c r="X6" s="416">
        <f t="shared" si="7"/>
        <v>0</v>
      </c>
    </row>
    <row r="7" spans="1:24" s="477" customFormat="1" x14ac:dyDescent="0.25">
      <c r="A7" s="769" t="s">
        <v>308</v>
      </c>
      <c r="B7" s="468" t="str">
        <f>'ADO-6'!$B$7</f>
        <v>URE</v>
      </c>
      <c r="C7" s="468" t="str">
        <f>'ADO-6'!$B$8</f>
        <v>Sensibilisation du grand public aux URE - chaleur</v>
      </c>
      <c r="D7" s="468" t="str">
        <f>'ADO-6'!$C$4</f>
        <v>Logement</v>
      </c>
      <c r="E7" s="468" t="str">
        <f>'ADO-6'!$B$11</f>
        <v>Citoyen</v>
      </c>
      <c r="F7" s="468" t="str">
        <f>'ADO-6'!$B$5</f>
        <v>Pas de financement</v>
      </c>
      <c r="G7" s="469">
        <f>'ADO-6'!$B$16</f>
        <v>0</v>
      </c>
      <c r="H7" s="468" t="str">
        <f>'ADO-6'!$B$6</f>
        <v>Pas de subside</v>
      </c>
      <c r="I7" s="469">
        <f>'ADO-6'!$B$17</f>
        <v>0</v>
      </c>
      <c r="J7" s="469">
        <f>'ADO-6'!$B$20</f>
        <v>148595.72950210556</v>
      </c>
      <c r="K7" s="469">
        <f>'ADO-6'!$B$21</f>
        <v>0</v>
      </c>
      <c r="L7" s="470">
        <f>'ADO-6'!$B$23</f>
        <v>0</v>
      </c>
      <c r="M7" s="479">
        <f>'ADO-6'!$B$19/1000</f>
        <v>0</v>
      </c>
      <c r="N7" s="472"/>
      <c r="O7" s="473" t="str">
        <f>'ADO-6'!$E$5</f>
        <v>En cours</v>
      </c>
      <c r="P7" s="474">
        <f>'ADO-6'!$B$15</f>
        <v>2020</v>
      </c>
      <c r="Q7" s="475">
        <f t="shared" si="0"/>
        <v>0</v>
      </c>
      <c r="R7" s="475">
        <f t="shared" si="1"/>
        <v>0</v>
      </c>
      <c r="S7" s="475">
        <f t="shared" si="2"/>
        <v>0</v>
      </c>
      <c r="T7" s="475">
        <f t="shared" si="3"/>
        <v>0</v>
      </c>
      <c r="U7" s="475">
        <f t="shared" si="4"/>
        <v>0</v>
      </c>
      <c r="V7" s="475">
        <f t="shared" si="5"/>
        <v>0</v>
      </c>
      <c r="W7" s="475">
        <f t="shared" si="6"/>
        <v>0</v>
      </c>
      <c r="X7" s="475">
        <f t="shared" si="7"/>
        <v>0</v>
      </c>
    </row>
    <row r="8" spans="1:24" s="477" customFormat="1" x14ac:dyDescent="0.25">
      <c r="A8" s="769" t="s">
        <v>309</v>
      </c>
      <c r="B8" s="468" t="str">
        <f>'ADO-7'!$B$7</f>
        <v>URE</v>
      </c>
      <c r="C8" s="468" t="str">
        <f>'ADO-7'!$B$8</f>
        <v>Sensibilisation du grand public aux URE - électricité</v>
      </c>
      <c r="D8" s="468" t="str">
        <f>'ADO-7'!$C$4</f>
        <v>Logement</v>
      </c>
      <c r="E8" s="468" t="str">
        <f>'ADO-7'!$B$11</f>
        <v>Citoyen</v>
      </c>
      <c r="F8" s="468" t="str">
        <f>'ADO-7'!$B$5</f>
        <v>Pas de financement</v>
      </c>
      <c r="G8" s="469">
        <f>'ADO-7'!$B$16</f>
        <v>0</v>
      </c>
      <c r="H8" s="468" t="str">
        <f>'ADO-7'!$B$6</f>
        <v>Pas de subside</v>
      </c>
      <c r="I8" s="469">
        <f>'ADO-7'!$B$17</f>
        <v>0</v>
      </c>
      <c r="J8" s="469">
        <f>'ADO-6'!$B$20</f>
        <v>148595.72950210556</v>
      </c>
      <c r="K8" s="469">
        <f>'ADO-7'!$B$21</f>
        <v>0</v>
      </c>
      <c r="L8" s="470">
        <f>'ADO-7'!$B$23</f>
        <v>0</v>
      </c>
      <c r="M8" s="479">
        <f>'ADO-7'!$B$19/1000</f>
        <v>0</v>
      </c>
      <c r="N8" s="472"/>
      <c r="O8" s="473" t="str">
        <f>'ADO-7'!$E$5</f>
        <v>En cours</v>
      </c>
      <c r="P8" s="474">
        <f>'ADO-7'!$B$15</f>
        <v>2020</v>
      </c>
      <c r="Q8" s="475">
        <f t="shared" si="0"/>
        <v>0</v>
      </c>
      <c r="R8" s="475">
        <f t="shared" si="1"/>
        <v>0</v>
      </c>
      <c r="S8" s="475">
        <f t="shared" si="2"/>
        <v>0</v>
      </c>
      <c r="T8" s="475">
        <f t="shared" si="3"/>
        <v>0</v>
      </c>
      <c r="U8" s="475">
        <f t="shared" si="4"/>
        <v>0</v>
      </c>
      <c r="V8" s="475">
        <f t="shared" si="5"/>
        <v>0</v>
      </c>
      <c r="W8" s="475">
        <f t="shared" si="6"/>
        <v>0</v>
      </c>
      <c r="X8" s="475">
        <f t="shared" si="7"/>
        <v>0</v>
      </c>
    </row>
    <row r="9" spans="1:24" s="417" customFormat="1" x14ac:dyDescent="0.25">
      <c r="A9" s="768" t="s">
        <v>317</v>
      </c>
      <c r="B9" s="409" t="str">
        <f>'ADO-8'!$B$7</f>
        <v>Agriculteurs</v>
      </c>
      <c r="C9" s="409" t="str">
        <f>'ADO-8'!$B$8</f>
        <v>Informations spécifiques aux agriculteurs</v>
      </c>
      <c r="D9" s="409" t="str">
        <f>'ADO-8'!$C$4</f>
        <v>Agriculture</v>
      </c>
      <c r="E9" s="409" t="str">
        <f>'ADO-8'!$B$11</f>
        <v>AC HABAY</v>
      </c>
      <c r="F9" s="409" t="str">
        <f>'ADO-8'!$B$5</f>
        <v>Pas de financement</v>
      </c>
      <c r="G9" s="410">
        <f>'ADO-8'!$B$16</f>
        <v>0</v>
      </c>
      <c r="H9" s="409" t="str">
        <f>'ADO-8'!$B$6</f>
        <v>Pas de subside</v>
      </c>
      <c r="I9" s="410">
        <f>'ADO-8'!$B$17</f>
        <v>0</v>
      </c>
      <c r="J9" s="410">
        <f>'ADO-8'!$B$20</f>
        <v>1</v>
      </c>
      <c r="K9" s="410">
        <f>'ADO-8'!$B$21</f>
        <v>0</v>
      </c>
      <c r="L9" s="419">
        <f>'ADO-8'!$B$23</f>
        <v>0</v>
      </c>
      <c r="M9" s="420">
        <f>'ADO-8'!$B$19/1000</f>
        <v>0</v>
      </c>
      <c r="N9" s="413"/>
      <c r="O9" s="414" t="str">
        <f>'ADO-8'!$E$5</f>
        <v>A faire</v>
      </c>
      <c r="P9" s="421">
        <f>'ADO-8'!$B$15</f>
        <v>2020</v>
      </c>
      <c r="Q9" s="247">
        <f t="shared" si="0"/>
        <v>0</v>
      </c>
      <c r="R9" s="416">
        <f t="shared" si="1"/>
        <v>0</v>
      </c>
      <c r="S9" s="416">
        <f t="shared" si="2"/>
        <v>0</v>
      </c>
      <c r="T9" s="416">
        <f t="shared" si="3"/>
        <v>0</v>
      </c>
      <c r="U9" s="416">
        <f t="shared" si="4"/>
        <v>0</v>
      </c>
      <c r="V9" s="416">
        <f t="shared" si="5"/>
        <v>0</v>
      </c>
      <c r="W9" s="416">
        <f t="shared" si="6"/>
        <v>0</v>
      </c>
      <c r="X9" s="416">
        <f t="shared" si="7"/>
        <v>0</v>
      </c>
    </row>
    <row r="10" spans="1:24" s="417" customFormat="1" x14ac:dyDescent="0.25">
      <c r="A10" s="768" t="s">
        <v>316</v>
      </c>
      <c r="B10" s="409" t="str">
        <f>'ADO-9'!$B$7</f>
        <v>Entreprises tous secteurs</v>
      </c>
      <c r="C10" s="409" t="str">
        <f>'ADO-9'!$B$8</f>
        <v>Information aux entreprises</v>
      </c>
      <c r="D10" s="409" t="str">
        <f>'ADO-9'!$C$4</f>
        <v>Industrie</v>
      </c>
      <c r="E10" s="409" t="str">
        <f>'ADO-9'!$B$11</f>
        <v>AC HABAY</v>
      </c>
      <c r="F10" s="409" t="str">
        <f>'ADO-9'!$B$5</f>
        <v>Pas de financement</v>
      </c>
      <c r="G10" s="410">
        <f>'ADO-9'!$B$16</f>
        <v>0</v>
      </c>
      <c r="H10" s="409" t="str">
        <f>'ADO-9'!$B$6</f>
        <v>Pas de subside</v>
      </c>
      <c r="I10" s="410">
        <f>'ADO-9'!$B$17</f>
        <v>0</v>
      </c>
      <c r="J10" s="410">
        <f>'ADO-9'!$B$20</f>
        <v>1</v>
      </c>
      <c r="K10" s="410">
        <f>'ADO-9'!$B$21</f>
        <v>0</v>
      </c>
      <c r="L10" s="419">
        <f>'ADO-9'!$B$23</f>
        <v>0</v>
      </c>
      <c r="M10" s="420">
        <f>'ADO-9'!$B$19/1000</f>
        <v>0</v>
      </c>
      <c r="N10" s="413"/>
      <c r="O10" s="414" t="str">
        <f>'ADO-9'!$E$5</f>
        <v>En cours</v>
      </c>
      <c r="P10" s="421">
        <f>'ADO-9'!$B$15</f>
        <v>2020</v>
      </c>
      <c r="Q10" s="247">
        <f t="shared" si="0"/>
        <v>0</v>
      </c>
      <c r="R10" s="416">
        <f t="shared" si="1"/>
        <v>0</v>
      </c>
      <c r="S10" s="416">
        <f t="shared" si="2"/>
        <v>0</v>
      </c>
      <c r="T10" s="416">
        <f t="shared" si="3"/>
        <v>0</v>
      </c>
      <c r="U10" s="416">
        <f t="shared" si="4"/>
        <v>0</v>
      </c>
      <c r="V10" s="416">
        <f t="shared" si="5"/>
        <v>0</v>
      </c>
      <c r="W10" s="416">
        <f t="shared" si="6"/>
        <v>0</v>
      </c>
      <c r="X10" s="416">
        <f t="shared" si="7"/>
        <v>0</v>
      </c>
    </row>
    <row r="11" spans="1:24" s="417" customFormat="1" x14ac:dyDescent="0.25">
      <c r="A11" s="768" t="s">
        <v>315</v>
      </c>
      <c r="B11" s="409" t="str">
        <f>'ADO-10'!$B$7</f>
        <v>Tous publics</v>
      </c>
      <c r="C11" s="409" t="str">
        <f>'ADO-10'!$B$8</f>
        <v>Analyse thermographique</v>
      </c>
      <c r="D11" s="409" t="str">
        <f>'ADO-10'!$C$4</f>
        <v>Communal</v>
      </c>
      <c r="E11" s="409" t="str">
        <f>'ADO-10'!$B$11</f>
        <v>AC HABAY</v>
      </c>
      <c r="F11" s="409" t="str">
        <f>'ADO-10'!$B$5</f>
        <v>Fonds propres</v>
      </c>
      <c r="G11" s="410">
        <f>'ADO-10'!$B$16</f>
        <v>6000</v>
      </c>
      <c r="H11" s="409" t="str">
        <f>'ADO-10'!$B$6</f>
        <v>Pas de subside</v>
      </c>
      <c r="I11" s="410">
        <f>'ADO-10'!$B$17</f>
        <v>0</v>
      </c>
      <c r="J11" s="410">
        <f>'ADO-10'!$B$20</f>
        <v>1</v>
      </c>
      <c r="K11" s="410">
        <f>'ADO-10'!$B$21</f>
        <v>0</v>
      </c>
      <c r="L11" s="419">
        <f>'ADO-10'!$B$23</f>
        <v>6000</v>
      </c>
      <c r="M11" s="420">
        <f>'ADO-10'!$B$19/1000</f>
        <v>0</v>
      </c>
      <c r="N11" s="413"/>
      <c r="O11" s="414" t="str">
        <f>'ADO-10'!$E$5</f>
        <v>En cours</v>
      </c>
      <c r="P11" s="421">
        <f>'ADO-10'!$B$15</f>
        <v>2020</v>
      </c>
      <c r="Q11" s="247">
        <f t="shared" si="0"/>
        <v>0</v>
      </c>
      <c r="R11" s="416">
        <f t="shared" si="1"/>
        <v>0</v>
      </c>
      <c r="S11" s="416">
        <f t="shared" si="2"/>
        <v>0</v>
      </c>
      <c r="T11" s="416">
        <f t="shared" si="3"/>
        <v>0</v>
      </c>
      <c r="U11" s="416">
        <f t="shared" si="4"/>
        <v>0</v>
      </c>
      <c r="V11" s="416">
        <f t="shared" si="5"/>
        <v>0</v>
      </c>
      <c r="W11" s="416">
        <f t="shared" si="6"/>
        <v>0</v>
      </c>
      <c r="X11" s="416">
        <f t="shared" si="7"/>
        <v>0</v>
      </c>
    </row>
    <row r="12" spans="1:24" s="417" customFormat="1" x14ac:dyDescent="0.25">
      <c r="A12" s="768" t="s">
        <v>408</v>
      </c>
      <c r="B12" s="409" t="str">
        <f>'ADO-11'!$B$7</f>
        <v>PAED</v>
      </c>
      <c r="C12" s="409" t="str">
        <f>'ADO-11'!$B$8</f>
        <v>Engagement d'un responsable Energie et Urbanisme</v>
      </c>
      <c r="D12" s="409" t="str">
        <f>'ADO-11'!$C$4</f>
        <v>Territoire</v>
      </c>
      <c r="E12" s="409" t="str">
        <f>'ADO-11'!$B$11</f>
        <v>AC HABAY</v>
      </c>
      <c r="F12" s="409" t="str">
        <f>'ADO-11'!$B$5</f>
        <v>Fonds propres</v>
      </c>
      <c r="G12" s="410">
        <f>'ADO-11'!$B$16</f>
        <v>300000</v>
      </c>
      <c r="H12" s="409" t="str">
        <f>'ADO-11'!$B$6</f>
        <v>Pas de subside</v>
      </c>
      <c r="I12" s="410">
        <f>'ADO-11'!$B$17</f>
        <v>0</v>
      </c>
      <c r="J12" s="410">
        <f>'ADO-11'!$B$20</f>
        <v>1</v>
      </c>
      <c r="K12" s="410">
        <f>'ADO-11'!$B$21</f>
        <v>0</v>
      </c>
      <c r="L12" s="419">
        <f>'ADO-11'!$B$23</f>
        <v>300000</v>
      </c>
      <c r="M12" s="420">
        <f>'ADO-11'!$B$19/1000</f>
        <v>0</v>
      </c>
      <c r="N12" s="413"/>
      <c r="O12" s="414" t="str">
        <f>'ADO-11'!$E$5</f>
        <v>En cours</v>
      </c>
      <c r="P12" s="421">
        <f>'ADO-11'!$B$15</f>
        <v>2020</v>
      </c>
      <c r="Q12" s="247">
        <f t="shared" si="0"/>
        <v>0</v>
      </c>
      <c r="R12" s="416">
        <f t="shared" si="1"/>
        <v>0</v>
      </c>
      <c r="S12" s="416">
        <f t="shared" si="2"/>
        <v>0</v>
      </c>
      <c r="T12" s="416">
        <f t="shared" si="3"/>
        <v>0</v>
      </c>
      <c r="U12" s="416">
        <f t="shared" si="4"/>
        <v>0</v>
      </c>
      <c r="V12" s="416">
        <f t="shared" si="5"/>
        <v>0</v>
      </c>
      <c r="W12" s="416">
        <f t="shared" si="6"/>
        <v>0</v>
      </c>
      <c r="X12" s="416">
        <f t="shared" si="7"/>
        <v>0</v>
      </c>
    </row>
    <row r="13" spans="1:24" s="417" customFormat="1" x14ac:dyDescent="0.25">
      <c r="A13" s="649" t="s">
        <v>679</v>
      </c>
      <c r="B13" s="409" t="str">
        <f>'ADO-12'!$B$7</f>
        <v>Personnel occupant les bâtiments communaux</v>
      </c>
      <c r="C13" s="409" t="str">
        <f>'ADO-12'!$B$8</f>
        <v>Sensibilisation aux économies d'énergie</v>
      </c>
      <c r="D13" s="409" t="str">
        <f>'ADO-12'!$C$4</f>
        <v>Territoire</v>
      </c>
      <c r="E13" s="409" t="str">
        <f>'ADO-12'!$B$11</f>
        <v>AC HABAY</v>
      </c>
      <c r="F13" s="409" t="str">
        <f>'ADO-12'!$B$5</f>
        <v>Pas de financement</v>
      </c>
      <c r="G13" s="410">
        <f>'ADO-12'!$B$16</f>
        <v>0</v>
      </c>
      <c r="H13" s="409" t="str">
        <f>'ADO-12'!$B$6</f>
        <v>Pas de subside</v>
      </c>
      <c r="I13" s="410">
        <f>'ADO-12'!$B$17</f>
        <v>0</v>
      </c>
      <c r="J13" s="410">
        <f>'ADO-12'!$B$20</f>
        <v>1</v>
      </c>
      <c r="K13" s="410">
        <f>'ADO-12'!$B$21</f>
        <v>0</v>
      </c>
      <c r="L13" s="419">
        <f>'ADO-12'!$B$23</f>
        <v>0</v>
      </c>
      <c r="M13" s="420">
        <f>'ADO-12'!$B$19/1000</f>
        <v>0</v>
      </c>
      <c r="N13" s="413"/>
      <c r="O13" s="414" t="str">
        <f>'ADO-12'!$E$5</f>
        <v>A faire</v>
      </c>
      <c r="P13" s="421">
        <f>'ADO-12'!$B$15</f>
        <v>2020</v>
      </c>
      <c r="Q13" s="247">
        <f t="shared" si="0"/>
        <v>0</v>
      </c>
      <c r="R13" s="416">
        <f>IF(O13="Terminé",M13,0)</f>
        <v>0</v>
      </c>
      <c r="S13" s="416">
        <f>IF(D13="Agriculture",R13,0)</f>
        <v>0</v>
      </c>
      <c r="T13" s="416">
        <f>IF(D13="Industrie", R13,0)</f>
        <v>0</v>
      </c>
      <c r="U13" s="416">
        <f>IF(D13="Logement", R13,0)</f>
        <v>0</v>
      </c>
      <c r="V13" s="416">
        <f>IF(D13="Tertiaire",R13,0)</f>
        <v>0</v>
      </c>
      <c r="W13" s="416">
        <f>IF(D13="Transport",R13,0)</f>
        <v>0</v>
      </c>
      <c r="X13" s="416">
        <f>IF(D13="Communal",R13,0)</f>
        <v>0</v>
      </c>
    </row>
    <row r="14" spans="1:24" s="417" customFormat="1" x14ac:dyDescent="0.25">
      <c r="A14" s="649" t="s">
        <v>682</v>
      </c>
      <c r="B14" s="409" t="str">
        <f>'ADO-13'!$B$7</f>
        <v>Ecoles</v>
      </c>
      <c r="C14" s="409" t="str">
        <f>'ADO-13'!$B$8</f>
        <v>Sensibilisation des écoles</v>
      </c>
      <c r="D14" s="409" t="str">
        <f>'ADO-13'!$C$4</f>
        <v>Communal</v>
      </c>
      <c r="E14" s="409" t="str">
        <f>'ADO-13'!$B$11</f>
        <v>AC HABAY</v>
      </c>
      <c r="F14" s="409" t="str">
        <f>'ADO-13'!$B$5</f>
        <v>Fonds propres</v>
      </c>
      <c r="G14" s="410">
        <f>'ADO-13'!$B$16</f>
        <v>2000</v>
      </c>
      <c r="H14" s="409" t="str">
        <f>'ADO-13'!$B$6</f>
        <v>Pas de subside</v>
      </c>
      <c r="I14" s="410">
        <f>'ADO-13'!$B$17</f>
        <v>0</v>
      </c>
      <c r="J14" s="410">
        <f>'ADO-13'!$B$20</f>
        <v>1</v>
      </c>
      <c r="K14" s="410">
        <f>'ADO-13'!$B$21</f>
        <v>0</v>
      </c>
      <c r="L14" s="419">
        <f>'ADO-13'!$B$23</f>
        <v>2000</v>
      </c>
      <c r="M14" s="420">
        <f>'ADO-13'!$B$19/1000</f>
        <v>0</v>
      </c>
      <c r="N14" s="413"/>
      <c r="O14" s="414" t="str">
        <f>'ADO-13'!$E$5</f>
        <v>En cours</v>
      </c>
      <c r="P14" s="421">
        <f>'ADO-13'!$B$15</f>
        <v>2020</v>
      </c>
      <c r="Q14" s="247">
        <f t="shared" si="0"/>
        <v>0</v>
      </c>
      <c r="R14" s="416">
        <f>IF(O14="Terminé",M14,0)</f>
        <v>0</v>
      </c>
      <c r="S14" s="416">
        <f>IF(D14="Agriculture",R14,0)</f>
        <v>0</v>
      </c>
      <c r="T14" s="416">
        <f>IF(D14="Industrie", R14,0)</f>
        <v>0</v>
      </c>
      <c r="U14" s="416">
        <f>IF(D14="Logement", R14,0)</f>
        <v>0</v>
      </c>
      <c r="V14" s="416">
        <f>IF(D14="Tertiaire",R14,0)</f>
        <v>0</v>
      </c>
      <c r="W14" s="416">
        <f>IF(D14="Transport",R14,0)</f>
        <v>0</v>
      </c>
      <c r="X14" s="416">
        <f>IF(D14="Communal",R14,0)</f>
        <v>0</v>
      </c>
    </row>
    <row r="15" spans="1:24" s="417" customFormat="1" x14ac:dyDescent="0.25">
      <c r="A15" s="649" t="s">
        <v>684</v>
      </c>
      <c r="B15" s="409" t="str">
        <f>'ADO-14'!$B$7</f>
        <v>Bâtiments communaux</v>
      </c>
      <c r="C15" s="409" t="str">
        <f>'ADO-14'!$B$8</f>
        <v>Chasse aux gaspis - chaleur</v>
      </c>
      <c r="D15" s="409" t="str">
        <f>'ADO-14'!$C$4</f>
        <v>Communal</v>
      </c>
      <c r="E15" s="409" t="str">
        <f>'ADO-14'!$B$11</f>
        <v>AC HABAY</v>
      </c>
      <c r="F15" s="409" t="str">
        <f>'ADO-14'!$B$5</f>
        <v>Fonds propres</v>
      </c>
      <c r="G15" s="410">
        <f>'ADO-14'!$B$16</f>
        <v>2000</v>
      </c>
      <c r="H15" s="409" t="str">
        <f>'ADO-14'!$B$6</f>
        <v>Pas de subside</v>
      </c>
      <c r="I15" s="410">
        <f>'ADO-14'!$B$17</f>
        <v>0</v>
      </c>
      <c r="J15" s="410">
        <f>'ADO-14'!$B$20</f>
        <v>1</v>
      </c>
      <c r="K15" s="410">
        <f>'ADO-14'!$B$21</f>
        <v>0</v>
      </c>
      <c r="L15" s="419">
        <f>'ADO-14'!$B$23</f>
        <v>2000</v>
      </c>
      <c r="M15" s="420">
        <f>'ADO-14'!$B$19/1000</f>
        <v>0</v>
      </c>
      <c r="N15" s="413"/>
      <c r="O15" s="414" t="str">
        <f>'ADO-14'!$E$5</f>
        <v>En cours</v>
      </c>
      <c r="P15" s="421">
        <f>'ADO-14'!$B$15</f>
        <v>2020</v>
      </c>
      <c r="Q15" s="247">
        <f t="shared" si="0"/>
        <v>0</v>
      </c>
      <c r="R15" s="416">
        <f>IF(O15="Terminé",M15,0)</f>
        <v>0</v>
      </c>
      <c r="S15" s="416">
        <f>IF(D15="Agriculture",R15,0)</f>
        <v>0</v>
      </c>
      <c r="T15" s="416">
        <f>IF(D15="Industrie", R15,0)</f>
        <v>0</v>
      </c>
      <c r="U15" s="416">
        <f>IF(D15="Logement", R15,0)</f>
        <v>0</v>
      </c>
      <c r="V15" s="416">
        <f>IF(D15="Tertiaire",R15,0)</f>
        <v>0</v>
      </c>
      <c r="W15" s="416">
        <f>IF(D15="Transport",R15,0)</f>
        <v>0</v>
      </c>
      <c r="X15" s="416">
        <f>IF(D15="Communal",R15,0)</f>
        <v>0</v>
      </c>
    </row>
    <row r="16" spans="1:24" s="417" customFormat="1" x14ac:dyDescent="0.25">
      <c r="A16" s="649" t="s">
        <v>688</v>
      </c>
      <c r="B16" s="409" t="str">
        <f>'ADO-15'!$B$7</f>
        <v>Bâtiments communaux</v>
      </c>
      <c r="C16" s="409" t="str">
        <f>'ADO-15'!$B$8</f>
        <v>Chasse aux gaspis - électricité</v>
      </c>
      <c r="D16" s="409" t="str">
        <f>'ADO-15'!$C$4</f>
        <v>Communal</v>
      </c>
      <c r="E16" s="409" t="str">
        <f>'ADO-15'!$B$11</f>
        <v>AC HABAY</v>
      </c>
      <c r="F16" s="409" t="str">
        <f>'ADO-15'!$B$5</f>
        <v>Fonds propres</v>
      </c>
      <c r="G16" s="410">
        <f>'ADO-15'!$B$16</f>
        <v>2000</v>
      </c>
      <c r="H16" s="409" t="str">
        <f>'ADO-15'!$B$6</f>
        <v>Pas de subside</v>
      </c>
      <c r="I16" s="410">
        <f>'ADO-15'!$B$17</f>
        <v>0</v>
      </c>
      <c r="J16" s="410">
        <f>'ADO-15'!$B$20</f>
        <v>1</v>
      </c>
      <c r="K16" s="410">
        <f>'ADO-15'!$B$21</f>
        <v>0</v>
      </c>
      <c r="L16" s="419">
        <f>'ADO-15'!$B$23</f>
        <v>2000</v>
      </c>
      <c r="M16" s="420">
        <f>'ADO-15'!$B$19/1000</f>
        <v>0</v>
      </c>
      <c r="N16" s="413"/>
      <c r="O16" s="414" t="str">
        <f>'ADO-15'!$E$5</f>
        <v>A faire</v>
      </c>
      <c r="P16" s="421">
        <f>'ADO-15'!$B$15</f>
        <v>2020</v>
      </c>
      <c r="Q16" s="247">
        <f t="shared" si="0"/>
        <v>0</v>
      </c>
      <c r="R16" s="416">
        <f>IF(O16="Terminé",M16,0)</f>
        <v>0</v>
      </c>
      <c r="S16" s="416">
        <f>IF(D16="Agriculture",R16,0)</f>
        <v>0</v>
      </c>
      <c r="T16" s="416">
        <f>IF(D16="Industrie", R16,0)</f>
        <v>0</v>
      </c>
      <c r="U16" s="416">
        <f>IF(D16="Logement", R16,0)</f>
        <v>0</v>
      </c>
      <c r="V16" s="416">
        <f>IF(D16="Tertiaire",R16,0)</f>
        <v>0</v>
      </c>
      <c r="W16" s="416">
        <f>IF(D16="Transport",R16,0)</f>
        <v>0</v>
      </c>
      <c r="X16" s="416">
        <f>IF(D16="Communal",R16,0)</f>
        <v>0</v>
      </c>
    </row>
    <row r="17" spans="1:24" s="417" customFormat="1" x14ac:dyDescent="0.25">
      <c r="A17" s="649" t="s">
        <v>907</v>
      </c>
      <c r="B17" s="409" t="str">
        <f>'ADO-16'!$B$7</f>
        <v>Grand public</v>
      </c>
      <c r="C17" s="409" t="str">
        <f>'ADO-16'!$B$8</f>
        <v>Incitants</v>
      </c>
      <c r="D17" s="409" t="str">
        <f>'ADO-16'!$C$4</f>
        <v>Territoire</v>
      </c>
      <c r="E17" s="409" t="str">
        <f>'ADO-16'!$B$11</f>
        <v>AC HABAY</v>
      </c>
      <c r="F17" s="409" t="str">
        <f>'ADO-16'!$B$5</f>
        <v>Fonds propres</v>
      </c>
      <c r="G17" s="410">
        <f>'ADO-16'!$B$16</f>
        <v>2000</v>
      </c>
      <c r="H17" s="409" t="str">
        <f>'ADO-16'!$B$6</f>
        <v>Pas de subside</v>
      </c>
      <c r="I17" s="410">
        <f>'ADO-16'!$B$17</f>
        <v>0</v>
      </c>
      <c r="J17" s="410">
        <f>'ADO-16'!$B$20</f>
        <v>1</v>
      </c>
      <c r="K17" s="410">
        <f>'ADO-16'!$B$21</f>
        <v>0</v>
      </c>
      <c r="L17" s="419">
        <f>'ADO-16'!$B$23</f>
        <v>2000</v>
      </c>
      <c r="M17" s="420">
        <f>'ADO-16'!$B$24</f>
        <v>23.4</v>
      </c>
      <c r="N17" s="413"/>
      <c r="O17" s="414" t="str">
        <f>'ADO-16'!$E$5</f>
        <v>A faire</v>
      </c>
      <c r="P17" s="421">
        <f>'ADO-16'!$B$15</f>
        <v>2020</v>
      </c>
      <c r="Q17" s="247">
        <f t="shared" ref="Q17:Q18" si="8">IF(O17="Terminé",M17,0)</f>
        <v>0</v>
      </c>
      <c r="R17" s="416">
        <f t="shared" ref="R17:R18" si="9">IF(O17="Terminé",M17,0)</f>
        <v>0</v>
      </c>
      <c r="S17" s="416">
        <f t="shared" ref="S17:S18" si="10">IF(D17="Agriculture",R17,0)</f>
        <v>0</v>
      </c>
      <c r="T17" s="416">
        <f t="shared" ref="T17:T18" si="11">IF(D17="Industrie", R17,0)</f>
        <v>0</v>
      </c>
      <c r="U17" s="416">
        <f t="shared" ref="U17:U18" si="12">IF(D17="Logement", R17,0)</f>
        <v>0</v>
      </c>
      <c r="V17" s="416">
        <f t="shared" ref="V17:V18" si="13">IF(D17="Tertiaire",R17,0)</f>
        <v>0</v>
      </c>
      <c r="W17" s="416">
        <f t="shared" ref="W17:W18" si="14">IF(D17="Transport",R17,0)</f>
        <v>0</v>
      </c>
      <c r="X17" s="416">
        <f t="shared" ref="X17:X18" si="15">IF(D17="Communal",R17,0)</f>
        <v>0</v>
      </c>
    </row>
    <row r="18" spans="1:24" s="417" customFormat="1" x14ac:dyDescent="0.25">
      <c r="A18" s="649" t="s">
        <v>908</v>
      </c>
      <c r="B18" s="409" t="str">
        <f>'ADO-17'!$B$7</f>
        <v>Grand public</v>
      </c>
      <c r="C18" s="409" t="str">
        <f>'ADO-17'!$B$8</f>
        <v>Semaine Mobilité</v>
      </c>
      <c r="D18" s="409" t="str">
        <f>'ADO-17'!$C$4</f>
        <v>Territoire</v>
      </c>
      <c r="E18" s="409" t="str">
        <f>'ADO-17'!$B$11</f>
        <v>AC HABAY</v>
      </c>
      <c r="F18" s="409" t="str">
        <f>'ADO-17'!$B$5</f>
        <v>Fonds propres</v>
      </c>
      <c r="G18" s="410">
        <f>'ADO-17'!$B$16</f>
        <v>2000</v>
      </c>
      <c r="H18" s="409" t="str">
        <f>'ADO-17'!$B$6</f>
        <v>Pas de subside</v>
      </c>
      <c r="I18" s="410">
        <f>'ADO-17'!$B$17</f>
        <v>0</v>
      </c>
      <c r="J18" s="410">
        <f>'ADO-17'!$B$20</f>
        <v>1</v>
      </c>
      <c r="K18" s="410">
        <f>'ADO-17'!$B$21</f>
        <v>0</v>
      </c>
      <c r="L18" s="419">
        <f>'ADO-17'!$B$23</f>
        <v>2000</v>
      </c>
      <c r="M18" s="420">
        <f>'ADO-17'!$B$24</f>
        <v>23.4</v>
      </c>
      <c r="N18" s="413"/>
      <c r="O18" s="414" t="str">
        <f>'ADO-17'!$E$5</f>
        <v>A faire</v>
      </c>
      <c r="P18" s="421">
        <f>'ADO-17'!$B$15</f>
        <v>2020</v>
      </c>
      <c r="Q18" s="247">
        <f t="shared" si="8"/>
        <v>0</v>
      </c>
      <c r="R18" s="416">
        <f t="shared" si="9"/>
        <v>0</v>
      </c>
      <c r="S18" s="416">
        <f t="shared" si="10"/>
        <v>0</v>
      </c>
      <c r="T18" s="416">
        <f t="shared" si="11"/>
        <v>0</v>
      </c>
      <c r="U18" s="416">
        <f t="shared" si="12"/>
        <v>0</v>
      </c>
      <c r="V18" s="416">
        <f t="shared" si="13"/>
        <v>0</v>
      </c>
      <c r="W18" s="416">
        <f t="shared" si="14"/>
        <v>0</v>
      </c>
      <c r="X18" s="416">
        <f t="shared" si="15"/>
        <v>0</v>
      </c>
    </row>
    <row r="19" spans="1:24" s="477" customFormat="1" x14ac:dyDescent="0.25">
      <c r="A19" s="769" t="s">
        <v>90</v>
      </c>
      <c r="B19" s="468" t="str">
        <f>'ADU-1'!$B$7</f>
        <v>Solaire thermique</v>
      </c>
      <c r="C19" s="468" t="str">
        <f>'ADU-1'!$B$8</f>
        <v>Installation solaires thermiques existantes</v>
      </c>
      <c r="D19" s="468" t="str">
        <f>'ADU-1'!$C$4</f>
        <v>Logement</v>
      </c>
      <c r="E19" s="468" t="str">
        <f>'ADU-1'!$B$11</f>
        <v>Citoyen</v>
      </c>
      <c r="F19" s="468" t="str">
        <f>'ADU-1'!$B$5</f>
        <v>Prêt bancaire</v>
      </c>
      <c r="G19" s="469">
        <f>'ADU-1'!$B$16</f>
        <v>49500</v>
      </c>
      <c r="H19" s="468" t="str">
        <f>'ADU-1'!$B$6</f>
        <v>Prime RW</v>
      </c>
      <c r="I19" s="469">
        <f>'ADU-1'!$B$17</f>
        <v>11000</v>
      </c>
      <c r="J19" s="469">
        <f>'ADU-1'!$B$20</f>
        <v>2480.4119999999998</v>
      </c>
      <c r="K19" s="469">
        <f>'ADU-1'!$B$21</f>
        <v>0</v>
      </c>
      <c r="L19" s="470">
        <f>'ADU-1'!$B$23</f>
        <v>15.521614957515125</v>
      </c>
      <c r="M19" s="479">
        <f>'ADU-1'!$B$19/1000</f>
        <v>28.841999999999999</v>
      </c>
      <c r="N19" s="472"/>
      <c r="O19" s="473" t="str">
        <f>'ADU-1'!$E$5</f>
        <v>Terminé</v>
      </c>
      <c r="P19" s="474">
        <f>'ADU-1'!$B$15</f>
        <v>2014</v>
      </c>
      <c r="Q19" s="475">
        <f t="shared" si="0"/>
        <v>28.841999999999999</v>
      </c>
      <c r="R19" s="475">
        <f t="shared" si="1"/>
        <v>28.841999999999999</v>
      </c>
      <c r="S19" s="475">
        <f t="shared" si="2"/>
        <v>0</v>
      </c>
      <c r="T19" s="475">
        <f t="shared" si="3"/>
        <v>0</v>
      </c>
      <c r="U19" s="475">
        <f t="shared" si="4"/>
        <v>28.841999999999999</v>
      </c>
      <c r="V19" s="475">
        <f t="shared" si="5"/>
        <v>0</v>
      </c>
      <c r="W19" s="475">
        <f t="shared" si="6"/>
        <v>0</v>
      </c>
      <c r="X19" s="475">
        <f t="shared" si="7"/>
        <v>0</v>
      </c>
    </row>
    <row r="20" spans="1:24" s="503" customFormat="1" x14ac:dyDescent="0.25">
      <c r="A20" s="770" t="s">
        <v>92</v>
      </c>
      <c r="B20" s="494" t="str">
        <f>'ADU-2'!$B$7</f>
        <v xml:space="preserve">Installations photovoltaïques </v>
      </c>
      <c r="C20" s="494" t="str">
        <f>'ADU-2'!$B$8</f>
        <v>Installations photovoltaïques pour habitations privées</v>
      </c>
      <c r="D20" s="494" t="str">
        <f>'ADU-2'!$C$4</f>
        <v>Logement</v>
      </c>
      <c r="E20" s="494" t="str">
        <f>'ADU-2'!$B$11</f>
        <v>Citoyen</v>
      </c>
      <c r="F20" s="494" t="str">
        <f>'ADU-2'!$B$5</f>
        <v>Prêt bancaire</v>
      </c>
      <c r="G20" s="495">
        <f>'ADU-2'!$B$16</f>
        <v>6314000.0000000009</v>
      </c>
      <c r="H20" s="494" t="str">
        <f>'ADU-2'!$B$6</f>
        <v>CV</v>
      </c>
      <c r="I20" s="495">
        <f>'ADU-2'!$B$17</f>
        <v>0</v>
      </c>
      <c r="J20" s="495">
        <f>'ADU-2'!$B$20</f>
        <v>585480</v>
      </c>
      <c r="K20" s="495">
        <f>'ADU-2'!$B$21</f>
        <v>634270</v>
      </c>
      <c r="L20" s="496">
        <f>'ADU-2'!$B$23</f>
        <v>5.1764705882352953</v>
      </c>
      <c r="M20" s="505">
        <f>'ADU-2'!$B$19/1000</f>
        <v>2439.5</v>
      </c>
      <c r="N20" s="498"/>
      <c r="O20" s="499" t="str">
        <f>'ADU-2'!$E$5</f>
        <v>Terminé</v>
      </c>
      <c r="P20" s="500">
        <f>'ADU-2'!$B$15</f>
        <v>2014</v>
      </c>
      <c r="Q20" s="501">
        <f t="shared" si="0"/>
        <v>2439.5</v>
      </c>
      <c r="R20" s="501">
        <f t="shared" si="1"/>
        <v>2439.5</v>
      </c>
      <c r="S20" s="501">
        <f t="shared" si="2"/>
        <v>0</v>
      </c>
      <c r="T20" s="501">
        <f t="shared" si="3"/>
        <v>0</v>
      </c>
      <c r="U20" s="501">
        <f t="shared" si="4"/>
        <v>2439.5</v>
      </c>
      <c r="V20" s="501">
        <f t="shared" si="5"/>
        <v>0</v>
      </c>
      <c r="W20" s="501">
        <f t="shared" si="6"/>
        <v>0</v>
      </c>
      <c r="X20" s="501">
        <f t="shared" si="7"/>
        <v>0</v>
      </c>
    </row>
    <row r="21" spans="1:24" s="503" customFormat="1" x14ac:dyDescent="0.25">
      <c r="A21" s="771" t="s">
        <v>693</v>
      </c>
      <c r="B21" s="494" t="str">
        <f>'ADU-221'!$B$7</f>
        <v>Installation photovoltaïque</v>
      </c>
      <c r="C21" s="494" t="str">
        <f>'ADU-221'!$B$8</f>
        <v>Installation PhV 65 kWc</v>
      </c>
      <c r="D21" s="494" t="str">
        <f>'ADU-221'!$C$4</f>
        <v>Tertiaire</v>
      </c>
      <c r="E21" s="494" t="str">
        <f>'ADU-221'!$B$11</f>
        <v>Tertiaire</v>
      </c>
      <c r="F21" s="494" t="str">
        <f>'ADU-221'!$B$5</f>
        <v>Fonds propres</v>
      </c>
      <c r="G21" s="495">
        <f>'ADU-221'!$B$16</f>
        <v>143000</v>
      </c>
      <c r="H21" s="494" t="str">
        <f>'ADU-221'!$B$6</f>
        <v>CV</v>
      </c>
      <c r="I21" s="495">
        <f>'ADU-221'!$B$17</f>
        <v>0</v>
      </c>
      <c r="J21" s="495">
        <f>'ADU-221'!$B$20</f>
        <v>13260</v>
      </c>
      <c r="K21" s="495">
        <f>'ADU-221'!$B$21</f>
        <v>3591.25</v>
      </c>
      <c r="L21" s="496">
        <f>'ADU-221'!$B$23</f>
        <v>8.486017357762778</v>
      </c>
      <c r="M21" s="505">
        <f>'ADU-221'!$B$19/1000</f>
        <v>55.25</v>
      </c>
      <c r="N21" s="498"/>
      <c r="O21" s="499" t="str">
        <f>'ADU-221'!$E$5</f>
        <v>Terminé</v>
      </c>
      <c r="P21" s="500">
        <f>'ADU-221'!$B$15</f>
        <v>2014</v>
      </c>
      <c r="Q21" s="501">
        <f t="shared" si="0"/>
        <v>55.25</v>
      </c>
      <c r="R21" s="501">
        <f>IF(O21="Terminé",M21,0)</f>
        <v>55.25</v>
      </c>
      <c r="S21" s="501">
        <f>IF(D21="Agriculture",R21,0)</f>
        <v>0</v>
      </c>
      <c r="T21" s="501">
        <f>IF(D21="Industrie", R21,0)</f>
        <v>0</v>
      </c>
      <c r="U21" s="501">
        <f>IF(D21="Logement", R21,0)</f>
        <v>0</v>
      </c>
      <c r="V21" s="501">
        <f>IF(D21="Tertiaire",R21,0)</f>
        <v>55.25</v>
      </c>
      <c r="W21" s="501">
        <f>IF(D21="Transport",R21,0)</f>
        <v>0</v>
      </c>
      <c r="X21" s="501">
        <f>IF(D21="Communal",R21,0)</f>
        <v>0</v>
      </c>
    </row>
    <row r="22" spans="1:24" s="503" customFormat="1" x14ac:dyDescent="0.25">
      <c r="A22" s="771" t="s">
        <v>692</v>
      </c>
      <c r="B22" s="494" t="str">
        <f>'ADU-222'!$B$7</f>
        <v>Installation photovoltaïque</v>
      </c>
      <c r="C22" s="494" t="str">
        <f>'ADU-222'!$B$8</f>
        <v>Installation PhV 46 kWc</v>
      </c>
      <c r="D22" s="494" t="str">
        <f>'ADU-222'!$C$4</f>
        <v>Tertiaire</v>
      </c>
      <c r="E22" s="494" t="str">
        <f>'ADU-222'!$B$11</f>
        <v>Tertiaire</v>
      </c>
      <c r="F22" s="494" t="str">
        <f>'ADU-222'!$B$5</f>
        <v>Fonds propres</v>
      </c>
      <c r="G22" s="495">
        <f>'ADU-222'!$B$16</f>
        <v>101200.00000000001</v>
      </c>
      <c r="H22" s="494" t="str">
        <f>'ADU-222'!$B$6</f>
        <v>CV</v>
      </c>
      <c r="I22" s="495">
        <f>'ADU-222'!$B$17</f>
        <v>0</v>
      </c>
      <c r="J22" s="495">
        <f>'ADU-222'!$B$20</f>
        <v>9384</v>
      </c>
      <c r="K22" s="495">
        <f>'ADU-222'!$B$21</f>
        <v>2541.5</v>
      </c>
      <c r="L22" s="496">
        <f>'ADU-222'!$B$23</f>
        <v>8.486017357762778</v>
      </c>
      <c r="M22" s="505">
        <f>'ADU-222'!$B19/1000</f>
        <v>39.1</v>
      </c>
      <c r="N22" s="498"/>
      <c r="O22" s="499" t="str">
        <f>'ADU-222'!$E$5</f>
        <v>Terminé</v>
      </c>
      <c r="P22" s="500">
        <f>'ADU-222'!$B$15</f>
        <v>2014</v>
      </c>
      <c r="Q22" s="501">
        <f t="shared" si="0"/>
        <v>39.1</v>
      </c>
      <c r="R22" s="501">
        <f>IF(O22="Terminé",M22,0)</f>
        <v>39.1</v>
      </c>
      <c r="S22" s="501">
        <f>IF(D22="Agriculture",R22,0)</f>
        <v>0</v>
      </c>
      <c r="T22" s="501">
        <f>IF(D22="Industrie", R22,0)</f>
        <v>0</v>
      </c>
      <c r="U22" s="501">
        <f>IF(D22="Logement", R22,0)</f>
        <v>0</v>
      </c>
      <c r="V22" s="501">
        <f>IF(D22="Tertiaire",R22,0)</f>
        <v>39.1</v>
      </c>
      <c r="W22" s="501">
        <f>IF(D22="Transport",R22,0)</f>
        <v>0</v>
      </c>
      <c r="X22" s="501">
        <f>IF(D22="Communal",R22,0)</f>
        <v>0</v>
      </c>
    </row>
    <row r="23" spans="1:24" s="503" customFormat="1" x14ac:dyDescent="0.25">
      <c r="A23" s="771" t="s">
        <v>753</v>
      </c>
      <c r="B23" s="494" t="str">
        <f>'ADU-223'!$B$7</f>
        <v>Installation photovoltaïque</v>
      </c>
      <c r="C23" s="494" t="str">
        <f>'ADU-223'!$B$8</f>
        <v>Installation PhV 150 kWc</v>
      </c>
      <c r="D23" s="494" t="str">
        <f>'ADU-223'!$C$4</f>
        <v>Tertiaire</v>
      </c>
      <c r="E23" s="494" t="str">
        <f>'ADU-223'!$B$11</f>
        <v>Tertiaire</v>
      </c>
      <c r="F23" s="494" t="str">
        <f>'ADU-223'!$B$5</f>
        <v>Fonds propres</v>
      </c>
      <c r="G23" s="495">
        <f>'ADU-223'!$B$16</f>
        <v>330000</v>
      </c>
      <c r="H23" s="494" t="str">
        <f>'ADU-223'!$B$6</f>
        <v>CV</v>
      </c>
      <c r="I23" s="495">
        <f>'ADU-223'!$B$17</f>
        <v>0</v>
      </c>
      <c r="J23" s="495">
        <f>'ADU-223'!$B$20</f>
        <v>30600</v>
      </c>
      <c r="K23" s="495">
        <f>'ADU-223'!$B$21</f>
        <v>8287.5</v>
      </c>
      <c r="L23" s="496">
        <f>'ADU-223'!$B$23</f>
        <v>8.486017357762778</v>
      </c>
      <c r="M23" s="505">
        <f>'ADU-223'!$B19/1000</f>
        <v>127.5</v>
      </c>
      <c r="N23" s="498"/>
      <c r="O23" s="499" t="str">
        <f>'ADU-223'!$E$5</f>
        <v>Terminé</v>
      </c>
      <c r="P23" s="500">
        <f>'ADU-223'!$B$15</f>
        <v>2015</v>
      </c>
      <c r="Q23" s="501">
        <f t="shared" si="0"/>
        <v>127.5</v>
      </c>
      <c r="R23" s="501">
        <f>IF(O23="Terminé",M23,0)</f>
        <v>127.5</v>
      </c>
      <c r="S23" s="501">
        <f>IF(D23="Agriculture",R23,0)</f>
        <v>0</v>
      </c>
      <c r="T23" s="501">
        <f>IF(D23="Industrie", R23,0)</f>
        <v>0</v>
      </c>
      <c r="U23" s="501">
        <f>IF(D23="Logement", R23,0)</f>
        <v>0</v>
      </c>
      <c r="V23" s="501">
        <f>IF(D23="Tertiaire",R23,0)</f>
        <v>127.5</v>
      </c>
      <c r="W23" s="501">
        <f>IF(D23="Transport",R23,0)</f>
        <v>0</v>
      </c>
      <c r="X23" s="501">
        <f>IF(D23="Communal",R23,0)</f>
        <v>0</v>
      </c>
    </row>
    <row r="24" spans="1:24" s="516" customFormat="1" x14ac:dyDescent="0.25">
      <c r="A24" s="772" t="s">
        <v>91</v>
      </c>
      <c r="B24" s="508" t="str">
        <f>'ADU-3'!$B$7</f>
        <v xml:space="preserve">Valorisation des déchets </v>
      </c>
      <c r="C24" s="508" t="str">
        <f>'ADU-3'!$B$8</f>
        <v>Part communale des centrales biogaz IDELUX</v>
      </c>
      <c r="D24" s="508" t="str">
        <f>'ADU-3'!$C$4</f>
        <v>Territoire</v>
      </c>
      <c r="E24" s="508" t="str">
        <f>'ADU-3'!$B$11</f>
        <v>IDELUX</v>
      </c>
      <c r="F24" s="508" t="str">
        <f>'ADU-3'!$B$5</f>
        <v>Montage</v>
      </c>
      <c r="G24" s="551">
        <f>'ADU-3'!$B$16</f>
        <v>0</v>
      </c>
      <c r="H24" s="508" t="str">
        <f>'ADU-3'!$B$6</f>
        <v>Subs EU</v>
      </c>
      <c r="I24" s="551">
        <f>'ADU-3'!$B$17</f>
        <v>0</v>
      </c>
      <c r="J24" s="551">
        <f>'ADU-3'!$B$20</f>
        <v>68483.520000000004</v>
      </c>
      <c r="K24" s="551">
        <f>'ADU-3'!$B$21</f>
        <v>18547.620000000003</v>
      </c>
      <c r="L24" s="552">
        <f>'ADU-3'!$B$23</f>
        <v>0</v>
      </c>
      <c r="M24" s="558">
        <f>'ADU-3'!$B$19/1000</f>
        <v>1131.9090000000001</v>
      </c>
      <c r="N24" s="554"/>
      <c r="O24" s="555" t="str">
        <f>'ADU-3'!$E$5</f>
        <v>Terminé</v>
      </c>
      <c r="P24" s="513">
        <f>'ADU-3'!$B$15</f>
        <v>2008</v>
      </c>
      <c r="Q24" s="514">
        <f t="shared" si="0"/>
        <v>1131.9090000000001</v>
      </c>
      <c r="R24" s="514">
        <f>IF(O24="Terminé",M24,0)</f>
        <v>1131.9090000000001</v>
      </c>
      <c r="S24" s="514">
        <f>IF(D24="Agriculture",R24,0)</f>
        <v>0</v>
      </c>
      <c r="T24" s="514">
        <f>IF(D24="Industrie", R24,0)</f>
        <v>0</v>
      </c>
      <c r="U24" s="514">
        <f>IF(D24="Logement", R24,0)</f>
        <v>0</v>
      </c>
      <c r="V24" s="514">
        <f>IF(D24="Tertiaire",R24,0)</f>
        <v>0</v>
      </c>
      <c r="W24" s="514">
        <f>IF(D24="Transport",R24,0)</f>
        <v>0</v>
      </c>
      <c r="X24" s="514">
        <f>IF(D24="Communal",R24,0)</f>
        <v>0</v>
      </c>
    </row>
    <row r="25" spans="1:24" s="503" customFormat="1" x14ac:dyDescent="0.25">
      <c r="A25" s="771" t="s">
        <v>601</v>
      </c>
      <c r="B25" s="494" t="str">
        <f>'ADU-41'!$B$7</f>
        <v>Production d'hydro-électricité</v>
      </c>
      <c r="C25" s="494" t="str">
        <f>'ADU-41'!$B$8</f>
        <v>Centrale hydro-électrique de La Trapperie</v>
      </c>
      <c r="D25" s="494" t="str">
        <f>'ADU-41'!$C$4</f>
        <v>Logement</v>
      </c>
      <c r="E25" s="494" t="str">
        <f>'ADU-41'!$B$11</f>
        <v>Citoyen</v>
      </c>
      <c r="F25" s="494" t="str">
        <f>'ADU-41'!$B$5</f>
        <v>Prêt bancaire</v>
      </c>
      <c r="G25" s="495">
        <f>'ADU-41'!$B$16</f>
        <v>120000</v>
      </c>
      <c r="H25" s="494" t="str">
        <f>'ADU-41'!$B$6</f>
        <v>CV</v>
      </c>
      <c r="I25" s="495">
        <f>'ADU-41'!$B$17</f>
        <v>42000</v>
      </c>
      <c r="J25" s="495">
        <f>'ADU-41'!$B$20</f>
        <v>5800</v>
      </c>
      <c r="K25" s="495">
        <f>'ADU-41'!$B$21</f>
        <v>9425</v>
      </c>
      <c r="L25" s="496">
        <f>'ADU-41'!$B$23</f>
        <v>5.1231527093596059</v>
      </c>
      <c r="M25" s="505">
        <f>'ADU-41'!$B$19/1000</f>
        <v>145</v>
      </c>
      <c r="N25" s="498"/>
      <c r="O25" s="499" t="str">
        <f>'ADU-41'!$E$5</f>
        <v>Terminé</v>
      </c>
      <c r="P25" s="500">
        <f>'ADU-41'!$B$15</f>
        <v>2009</v>
      </c>
      <c r="Q25" s="247">
        <f t="shared" si="0"/>
        <v>145</v>
      </c>
      <c r="R25" s="501">
        <f t="shared" si="1"/>
        <v>145</v>
      </c>
      <c r="S25" s="501">
        <f t="shared" si="2"/>
        <v>0</v>
      </c>
      <c r="T25" s="501">
        <f t="shared" si="3"/>
        <v>0</v>
      </c>
      <c r="U25" s="501">
        <f t="shared" si="4"/>
        <v>145</v>
      </c>
      <c r="V25" s="501">
        <f t="shared" si="5"/>
        <v>0</v>
      </c>
      <c r="W25" s="501">
        <f t="shared" si="6"/>
        <v>0</v>
      </c>
      <c r="X25" s="501">
        <f t="shared" si="7"/>
        <v>0</v>
      </c>
    </row>
    <row r="26" spans="1:24" s="503" customFormat="1" x14ac:dyDescent="0.25">
      <c r="A26" s="771" t="s">
        <v>694</v>
      </c>
      <c r="B26" s="494" t="str">
        <f>'ADU-42'!$B$7</f>
        <v>Production d'hydro-électricité</v>
      </c>
      <c r="C26" s="494" t="str">
        <f>'ADU-42'!$B$8</f>
        <v>Centrale hydro-électrique Anlier</v>
      </c>
      <c r="D26" s="494" t="str">
        <f>'ADU-42'!$C$4</f>
        <v>Logement</v>
      </c>
      <c r="E26" s="494" t="str">
        <f>'ADU-42'!$B$11</f>
        <v>Citoyen</v>
      </c>
      <c r="F26" s="494" t="str">
        <f>'ADU-42'!$B$5</f>
        <v>Prêt bancaire</v>
      </c>
      <c r="G26" s="495">
        <f>'ADU-42'!$B$16</f>
        <v>80000</v>
      </c>
      <c r="H26" s="494" t="str">
        <f>'ADU-42'!$B$6</f>
        <v>CV</v>
      </c>
      <c r="I26" s="495">
        <f>'ADU-42'!$B$17</f>
        <v>28000</v>
      </c>
      <c r="J26" s="495">
        <f>'ADU-42'!$B$20</f>
        <v>1839.6000000000001</v>
      </c>
      <c r="K26" s="495">
        <f>'ADU-42'!$B$21</f>
        <v>2989.35</v>
      </c>
      <c r="L26" s="496">
        <f>'ADU-42'!$B$23</f>
        <v>10.768386502241688</v>
      </c>
      <c r="M26" s="505">
        <f>'ADU-42'!$B$19/1000</f>
        <v>45.99</v>
      </c>
      <c r="N26" s="498"/>
      <c r="O26" s="499" t="str">
        <f>'ADU-42'!$E$5</f>
        <v>Terminé</v>
      </c>
      <c r="P26" s="500">
        <f>'ADU-42'!$B$15</f>
        <v>2009</v>
      </c>
      <c r="Q26" s="247">
        <f t="shared" si="0"/>
        <v>45.99</v>
      </c>
      <c r="R26" s="501">
        <f>IF(O26="Terminé",M26,0)</f>
        <v>45.99</v>
      </c>
      <c r="S26" s="501">
        <f>IF(D26="Agriculture",R26,0)</f>
        <v>0</v>
      </c>
      <c r="T26" s="501">
        <f>IF(D26="Industrie", R26,0)</f>
        <v>0</v>
      </c>
      <c r="U26" s="501">
        <f>IF(D26="Logement", R26,0)</f>
        <v>45.99</v>
      </c>
      <c r="V26" s="501">
        <f>IF(D26="Tertiaire",R26,0)</f>
        <v>0</v>
      </c>
      <c r="W26" s="501">
        <f>IF(D26="Transport",R26,0)</f>
        <v>0</v>
      </c>
      <c r="X26" s="501">
        <f>IF(D26="Communal",R26,0)</f>
        <v>0</v>
      </c>
    </row>
    <row r="27" spans="1:24" s="503" customFormat="1" x14ac:dyDescent="0.25">
      <c r="A27" s="771" t="s">
        <v>695</v>
      </c>
      <c r="B27" s="494" t="str">
        <f>'ADU-43'!$B$7</f>
        <v>Production d'hydro-électricité</v>
      </c>
      <c r="C27" s="494" t="str">
        <f>'ADU-43'!$B$8</f>
        <v>Centrale hydro-électrique du Châtelet</v>
      </c>
      <c r="D27" s="494" t="str">
        <f>'ADU-43'!$C$4</f>
        <v>Communal</v>
      </c>
      <c r="E27" s="494" t="str">
        <f>'ADU-43'!$B$11</f>
        <v>AC HABAY</v>
      </c>
      <c r="F27" s="494" t="str">
        <f>'ADU-43'!$B$5</f>
        <v>Prêt bancaire</v>
      </c>
      <c r="G27" s="495">
        <f>'ADU-43'!$B$16</f>
        <v>451000</v>
      </c>
      <c r="H27" s="494" t="str">
        <f>'ADU-43'!$B$6</f>
        <v>CV</v>
      </c>
      <c r="I27" s="495">
        <f>'ADU-43'!$B$17</f>
        <v>0</v>
      </c>
      <c r="J27" s="495">
        <f>'ADU-43'!$B$20</f>
        <v>14729.939999999997</v>
      </c>
      <c r="K27" s="495">
        <f>'ADU-43'!$B$21</f>
        <v>9070.5419999999976</v>
      </c>
      <c r="L27" s="496">
        <f>'ADU-43'!$B$23</f>
        <v>18.949196070903106</v>
      </c>
      <c r="M27" s="505">
        <f>'ADU-43'!$B$19/1000</f>
        <v>77.525999999999982</v>
      </c>
      <c r="N27" s="498"/>
      <c r="O27" s="499" t="str">
        <f>'ADU-43'!$E$5</f>
        <v>Terminé</v>
      </c>
      <c r="P27" s="500">
        <f>'ADU-43'!$B$15</f>
        <v>2017</v>
      </c>
      <c r="Q27" s="247">
        <f t="shared" si="0"/>
        <v>77.525999999999982</v>
      </c>
      <c r="R27" s="501">
        <f>IF(O27="Terminé",M27,0)</f>
        <v>77.525999999999982</v>
      </c>
      <c r="S27" s="501">
        <f>IF(D27="Agriculture",R27,0)</f>
        <v>0</v>
      </c>
      <c r="T27" s="501">
        <f>IF(D27="Industrie", R27,0)</f>
        <v>0</v>
      </c>
      <c r="U27" s="501">
        <f>IF(D27="Logement", R27,0)</f>
        <v>0</v>
      </c>
      <c r="V27" s="501">
        <f>IF(D27="Tertiaire",R27,0)</f>
        <v>0</v>
      </c>
      <c r="W27" s="501">
        <f>IF(D27="Transport",R27,0)</f>
        <v>0</v>
      </c>
      <c r="X27" s="501">
        <f>IF(D27="Communal",R27,0)</f>
        <v>77.525999999999982</v>
      </c>
    </row>
    <row r="28" spans="1:24" s="503" customFormat="1" x14ac:dyDescent="0.25">
      <c r="A28" s="771" t="s">
        <v>745</v>
      </c>
      <c r="B28" s="494" t="str">
        <f>'ADU-44'!$B$7</f>
        <v>Production d'hydro-électricité</v>
      </c>
      <c r="C28" s="494" t="str">
        <f>'ADU-44'!$B$8</f>
        <v>Centrale hydro-électrique étang de Bologne</v>
      </c>
      <c r="D28" s="494" t="str">
        <f>'ADU-44'!$C$4</f>
        <v>Communal</v>
      </c>
      <c r="E28" s="494" t="str">
        <f>'ADU-44'!$B$11</f>
        <v>AC HABAY</v>
      </c>
      <c r="F28" s="494" t="str">
        <f>'ADU-44'!$B$5</f>
        <v>Prêt bancaire</v>
      </c>
      <c r="G28" s="495">
        <f>'ADU-44'!$B$16</f>
        <v>220000</v>
      </c>
      <c r="H28" s="494" t="str">
        <f>'ADU-44'!$B$6</f>
        <v>CV</v>
      </c>
      <c r="I28" s="495">
        <f>'ADU-44'!$B$17</f>
        <v>77000</v>
      </c>
      <c r="J28" s="495">
        <f>'ADU-44'!$B$20</f>
        <v>5518.8</v>
      </c>
      <c r="K28" s="495">
        <f>'ADU-44'!$B$21</f>
        <v>8968.0499999999993</v>
      </c>
      <c r="L28" s="496">
        <f>'ADU-44'!$B$23</f>
        <v>9.8710209603882149</v>
      </c>
      <c r="M28" s="505">
        <f>'ADU-44'!$B$19/1000</f>
        <v>137.97</v>
      </c>
      <c r="N28" s="498"/>
      <c r="O28" s="499" t="str">
        <f>'ADU-44'!$E$5</f>
        <v>A faire</v>
      </c>
      <c r="P28" s="500">
        <f>'ADU-44'!$B$15</f>
        <v>2018</v>
      </c>
      <c r="Q28" s="247">
        <f t="shared" si="0"/>
        <v>0</v>
      </c>
      <c r="R28" s="501">
        <f>IF(O28="Terminé",M28,0)</f>
        <v>0</v>
      </c>
      <c r="S28" s="501">
        <f>IF(D28="Agriculture",R28,0)</f>
        <v>0</v>
      </c>
      <c r="T28" s="501">
        <f>IF(D28="Industrie", R28,0)</f>
        <v>0</v>
      </c>
      <c r="U28" s="501">
        <f>IF(D28="Logement", R28,0)</f>
        <v>0</v>
      </c>
      <c r="V28" s="501">
        <f>IF(D28="Tertiaire",R28,0)</f>
        <v>0</v>
      </c>
      <c r="W28" s="501">
        <f>IF(D28="Transport",R28,0)</f>
        <v>0</v>
      </c>
      <c r="X28" s="501">
        <f>IF(D28="Communal",R28,0)</f>
        <v>0</v>
      </c>
    </row>
    <row r="29" spans="1:24" s="417" customFormat="1" x14ac:dyDescent="0.25">
      <c r="A29" s="768" t="s">
        <v>156</v>
      </c>
      <c r="B29" s="409" t="str">
        <f>'ADU-5'!$B$7</f>
        <v>Projets d'isolation</v>
      </c>
      <c r="C29" s="409" t="str">
        <f>'ADU-5'!$B$8</f>
        <v>Ensemble des projets d'isolation de bâtiments communaux</v>
      </c>
      <c r="D29" s="409" t="str">
        <f>'ADU-5'!$C$4</f>
        <v>Communal</v>
      </c>
      <c r="E29" s="409" t="str">
        <f>'ADU-5'!$B$11</f>
        <v>AC HABAY</v>
      </c>
      <c r="F29" s="409" t="str">
        <f>'ADU-5'!$B$5</f>
        <v>Prêt bancaire</v>
      </c>
      <c r="G29" s="410">
        <f>'ADU-5'!$B$16</f>
        <v>319035</v>
      </c>
      <c r="H29" s="409" t="str">
        <f>'ADU-5'!$B$6</f>
        <v>Subs RW</v>
      </c>
      <c r="I29" s="410">
        <f>'ADU-5'!$B$17</f>
        <v>259056</v>
      </c>
      <c r="J29" s="410">
        <f>'ADU-5'!$B$20</f>
        <v>11782</v>
      </c>
      <c r="K29" s="410">
        <f>'ADU-5'!$B$21</f>
        <v>0</v>
      </c>
      <c r="L29" s="419">
        <f>'ADU-5'!$B$23</f>
        <v>5.0907316245119674</v>
      </c>
      <c r="M29" s="420">
        <f>'ADU-5'!$B$19/1000</f>
        <v>0</v>
      </c>
      <c r="N29" s="413"/>
      <c r="O29" s="414" t="str">
        <f>'ADU-5'!$E$5</f>
        <v>Terminé</v>
      </c>
      <c r="P29" s="421">
        <f>'ADU-5'!$B$15</f>
        <v>2015</v>
      </c>
      <c r="Q29" s="416">
        <f t="shared" si="0"/>
        <v>0</v>
      </c>
      <c r="R29" s="416">
        <f t="shared" si="1"/>
        <v>0</v>
      </c>
      <c r="S29" s="416">
        <f t="shared" si="2"/>
        <v>0</v>
      </c>
      <c r="T29" s="416">
        <f t="shared" si="3"/>
        <v>0</v>
      </c>
      <c r="U29" s="416">
        <f t="shared" si="4"/>
        <v>0</v>
      </c>
      <c r="V29" s="416">
        <f t="shared" si="5"/>
        <v>0</v>
      </c>
      <c r="W29" s="416">
        <f t="shared" si="6"/>
        <v>0</v>
      </c>
      <c r="X29" s="416">
        <f t="shared" si="7"/>
        <v>0</v>
      </c>
    </row>
    <row r="30" spans="1:24" s="417" customFormat="1" x14ac:dyDescent="0.25">
      <c r="A30" s="756" t="s">
        <v>939</v>
      </c>
      <c r="B30" s="521" t="str">
        <f>'ADU-51'!$B$7</f>
        <v>Commerces</v>
      </c>
      <c r="C30" s="521" t="str">
        <f>'ADU-51'!$B$8</f>
        <v>Récupération d'énergie</v>
      </c>
      <c r="D30" s="521" t="str">
        <f>'ADU-51'!$C$4</f>
        <v>Tertiaire</v>
      </c>
      <c r="E30" s="521" t="str">
        <f>'ADU-51'!$B$11</f>
        <v>Tertiaire</v>
      </c>
      <c r="F30" s="521" t="str">
        <f>'ADU-51'!$B$5</f>
        <v>Prêt bancaire</v>
      </c>
      <c r="G30" s="563">
        <f>'ADU-51'!$B$16</f>
        <v>50000</v>
      </c>
      <c r="H30" s="521" t="str">
        <f>'ADU-51'!$B$6</f>
        <v>Subs RW</v>
      </c>
      <c r="I30" s="563">
        <f>'ADU-51'!$B$17</f>
        <v>0</v>
      </c>
      <c r="J30" s="563">
        <f>'ADU-51'!$B$20</f>
        <v>3288</v>
      </c>
      <c r="K30" s="563">
        <f>'ADU-51'!$B$21</f>
        <v>0</v>
      </c>
      <c r="L30" s="564">
        <f>'ADU-51'!$B$23</f>
        <v>15.206812652068127</v>
      </c>
      <c r="M30" s="588">
        <f>'ADU-51'!$B$24</f>
        <v>0</v>
      </c>
      <c r="N30" s="566"/>
      <c r="O30" s="414" t="str">
        <f>'ADU-51'!$E$5</f>
        <v>Terminé</v>
      </c>
      <c r="P30" s="522">
        <f>'ADU-51'!$B$15</f>
        <v>2017</v>
      </c>
      <c r="Q30" s="523">
        <f t="shared" ref="Q30:Q32" si="16">IF(O30="Terminé",M30,0)</f>
        <v>0</v>
      </c>
      <c r="R30" s="523">
        <f t="shared" ref="R30:R32" si="17">IF(O30="Terminé",M30,0)</f>
        <v>0</v>
      </c>
      <c r="S30" s="523">
        <f t="shared" ref="S30:S32" si="18">IF(D30="Agriculture",R30,0)</f>
        <v>0</v>
      </c>
      <c r="T30" s="523">
        <f t="shared" ref="T30:T32" si="19">IF(D30="Industrie", R30,0)</f>
        <v>0</v>
      </c>
      <c r="U30" s="523">
        <f t="shared" ref="U30:U32" si="20">IF(D30="Logement", R30,0)</f>
        <v>0</v>
      </c>
      <c r="V30" s="416">
        <f t="shared" ref="V30:V32" si="21">IF(D30="Tertiaire",R30,0)</f>
        <v>0</v>
      </c>
      <c r="W30" s="416">
        <f t="shared" ref="W30:W32" si="22">IF(D30="Transport",R30,0)</f>
        <v>0</v>
      </c>
      <c r="X30" s="416">
        <f t="shared" ref="X30:X32" si="23">IF(D30="Communal",R30,0)</f>
        <v>0</v>
      </c>
    </row>
    <row r="31" spans="1:24" s="417" customFormat="1" x14ac:dyDescent="0.25">
      <c r="A31" s="786" t="s">
        <v>947</v>
      </c>
      <c r="B31" s="409" t="str">
        <f>'ADU-52'!$B$7</f>
        <v>Piscine</v>
      </c>
      <c r="C31" s="409" t="str">
        <f>'ADU-52'!$B$8</f>
        <v>Récupération et économie d'énergie</v>
      </c>
      <c r="D31" s="409" t="str">
        <f>'ADU-52'!$C$4</f>
        <v>Communal</v>
      </c>
      <c r="E31" s="409" t="str">
        <f>'ADU-52'!$B$11</f>
        <v>AC HABAY</v>
      </c>
      <c r="F31" s="409" t="str">
        <f>'ADU-52'!$B$5</f>
        <v>Prêt bancaire</v>
      </c>
      <c r="G31" s="410">
        <f>'ADU-52'!$B$16</f>
        <v>100000</v>
      </c>
      <c r="H31" s="409" t="str">
        <f>'ADU-52'!$B$6</f>
        <v>Subs RW</v>
      </c>
      <c r="I31" s="410">
        <f>'ADU-52'!$B$17</f>
        <v>0</v>
      </c>
      <c r="J31" s="410">
        <f>'ADU-52'!$B$20</f>
        <v>15984</v>
      </c>
      <c r="K31" s="410">
        <f>'ADU-52'!$B$21</f>
        <v>0</v>
      </c>
      <c r="L31" s="419">
        <f>'ADU-52'!$B$23</f>
        <v>6.2562562562562567</v>
      </c>
      <c r="M31" s="420">
        <f>'ADU-52'!$B$24</f>
        <v>7.7922000000000011</v>
      </c>
      <c r="N31" s="413"/>
      <c r="O31" s="414" t="str">
        <f>'ADU-52'!$E$5</f>
        <v>Terminé</v>
      </c>
      <c r="P31" s="421">
        <f>'ADU-52'!$B$15</f>
        <v>2017</v>
      </c>
      <c r="Q31" s="416">
        <f t="shared" si="16"/>
        <v>7.7922000000000011</v>
      </c>
      <c r="R31" s="416">
        <f t="shared" si="17"/>
        <v>7.7922000000000011</v>
      </c>
      <c r="S31" s="416">
        <f t="shared" si="18"/>
        <v>0</v>
      </c>
      <c r="T31" s="416">
        <f t="shared" si="19"/>
        <v>0</v>
      </c>
      <c r="U31" s="416">
        <f t="shared" si="20"/>
        <v>0</v>
      </c>
      <c r="V31" s="416">
        <f t="shared" si="21"/>
        <v>0</v>
      </c>
      <c r="W31" s="416">
        <f t="shared" si="22"/>
        <v>0</v>
      </c>
      <c r="X31" s="416">
        <f t="shared" si="23"/>
        <v>7.7922000000000011</v>
      </c>
    </row>
    <row r="32" spans="1:24" s="417" customFormat="1" x14ac:dyDescent="0.25">
      <c r="A32" s="756" t="s">
        <v>964</v>
      </c>
      <c r="B32" s="521" t="str">
        <f>'ADU-53'!$B$7</f>
        <v>Ecole de l'Etat Marbehan</v>
      </c>
      <c r="C32" s="521" t="str">
        <f>'ADU-53'!$B$8</f>
        <v>Chaudière et économie d'énergie</v>
      </c>
      <c r="D32" s="521" t="str">
        <f>'ADU-53'!$C$4</f>
        <v>Tertiaire</v>
      </c>
      <c r="E32" s="521" t="str">
        <f>'ADU-53'!$B$11</f>
        <v>Tertiaire</v>
      </c>
      <c r="F32" s="521" t="str">
        <f>'ADU-53'!$B$5</f>
        <v>Prêt bancaire</v>
      </c>
      <c r="G32" s="563">
        <f>'ADU-53'!$B$16</f>
        <v>200000</v>
      </c>
      <c r="H32" s="521" t="str">
        <f>'ADU-53'!$B$6</f>
        <v>Subs RW</v>
      </c>
      <c r="I32" s="563">
        <f>'ADU-53'!$B$17</f>
        <v>140000</v>
      </c>
      <c r="J32" s="563">
        <f>'ADU-53'!$B$20</f>
        <v>7000</v>
      </c>
      <c r="K32" s="563">
        <f>'ADU-53'!$B$21</f>
        <v>0</v>
      </c>
      <c r="L32" s="564">
        <f>'ADU-53'!$B$23</f>
        <v>8.5714285714285712</v>
      </c>
      <c r="M32" s="588">
        <f>'ADU-53'!$B$24</f>
        <v>26.1</v>
      </c>
      <c r="N32" s="566"/>
      <c r="O32" s="414" t="str">
        <f>'ADU-53'!$E$5</f>
        <v>Terminé</v>
      </c>
      <c r="P32" s="522">
        <f>'ADU-53'!$B$15</f>
        <v>2017</v>
      </c>
      <c r="Q32" s="523">
        <f t="shared" si="16"/>
        <v>26.1</v>
      </c>
      <c r="R32" s="523">
        <f t="shared" si="17"/>
        <v>26.1</v>
      </c>
      <c r="S32" s="523">
        <f t="shared" si="18"/>
        <v>0</v>
      </c>
      <c r="T32" s="523">
        <f t="shared" si="19"/>
        <v>0</v>
      </c>
      <c r="U32" s="523">
        <f t="shared" si="20"/>
        <v>0</v>
      </c>
      <c r="V32" s="416">
        <f t="shared" si="21"/>
        <v>26.1</v>
      </c>
      <c r="W32" s="416">
        <f t="shared" si="22"/>
        <v>0</v>
      </c>
      <c r="X32" s="416">
        <f t="shared" si="23"/>
        <v>0</v>
      </c>
    </row>
    <row r="33" spans="1:24" s="417" customFormat="1" x14ac:dyDescent="0.25">
      <c r="A33" s="768" t="s">
        <v>157</v>
      </c>
      <c r="B33" s="409" t="str">
        <f>'ADU-6'!$B$7</f>
        <v>Projets de remplacement de chaudière</v>
      </c>
      <c r="C33" s="409" t="str">
        <f>'ADU-6'!$B$8</f>
        <v>Ensemble des projets de remplacement de chaudière dans les bâtiments communaux</v>
      </c>
      <c r="D33" s="409" t="str">
        <f>'ADU-6'!$C$4</f>
        <v>Communal</v>
      </c>
      <c r="E33" s="409" t="str">
        <f>'ADU-6'!$B$11</f>
        <v>AC HABAY</v>
      </c>
      <c r="F33" s="409" t="str">
        <f>'ADU-6'!$B$5</f>
        <v>Prêt bancaire</v>
      </c>
      <c r="G33" s="410">
        <f>'ADU-6'!$B$16</f>
        <v>57440</v>
      </c>
      <c r="H33" s="409" t="str">
        <f>'ADU-6'!$B$6</f>
        <v>Subs RW</v>
      </c>
      <c r="I33" s="410">
        <f>'ADU-6'!$B$17</f>
        <v>46642</v>
      </c>
      <c r="J33" s="410">
        <f>'ADU-6'!$B$20</f>
        <v>3053</v>
      </c>
      <c r="K33" s="410">
        <f>'ADU-6'!$B$21</f>
        <v>0</v>
      </c>
      <c r="L33" s="419">
        <f>'ADU-6'!$B$23</f>
        <v>3.5368490009826399</v>
      </c>
      <c r="M33" s="420">
        <f>'ADU-6'!$B$19/1000</f>
        <v>0</v>
      </c>
      <c r="N33" s="413"/>
      <c r="O33" s="414" t="str">
        <f>'ADU-6'!$E$5</f>
        <v>Terminé</v>
      </c>
      <c r="P33" s="421">
        <f>'ADU-6'!$B$15</f>
        <v>2016</v>
      </c>
      <c r="Q33" s="416">
        <f t="shared" si="0"/>
        <v>0</v>
      </c>
      <c r="R33" s="416">
        <f t="shared" si="1"/>
        <v>0</v>
      </c>
      <c r="S33" s="416">
        <f t="shared" si="2"/>
        <v>0</v>
      </c>
      <c r="T33" s="416">
        <f t="shared" si="3"/>
        <v>0</v>
      </c>
      <c r="U33" s="416">
        <f t="shared" si="4"/>
        <v>0</v>
      </c>
      <c r="V33" s="416">
        <f t="shared" si="5"/>
        <v>0</v>
      </c>
      <c r="W33" s="416">
        <f t="shared" si="6"/>
        <v>0</v>
      </c>
      <c r="X33" s="416">
        <f t="shared" si="7"/>
        <v>0</v>
      </c>
    </row>
    <row r="34" spans="1:24" s="673" customFormat="1" x14ac:dyDescent="0.25">
      <c r="A34" s="773" t="s">
        <v>405</v>
      </c>
      <c r="B34" s="758" t="str">
        <f>'ADU-61'!$B$7</f>
        <v xml:space="preserve">Réduction de consommation </v>
      </c>
      <c r="C34" s="758" t="str">
        <f>'ADU-61'!$B$8</f>
        <v>Bilan des actions citoyennes de 2007 à 08/2014</v>
      </c>
      <c r="D34" s="758" t="str">
        <f>'ADU-61'!$C$4</f>
        <v>Logement</v>
      </c>
      <c r="E34" s="758" t="str">
        <f>'ADU-61'!$B$11</f>
        <v>Citoyen</v>
      </c>
      <c r="F34" s="758" t="str">
        <f>'ADU-61'!$B$5</f>
        <v>Prêt bancaire</v>
      </c>
      <c r="G34" s="759">
        <f>'ADU-61'!$B$16</f>
        <v>1767679.1233333333</v>
      </c>
      <c r="H34" s="758" t="str">
        <f>'ADU-61'!$B$6</f>
        <v>Prime RW</v>
      </c>
      <c r="I34" s="759">
        <f>'ADU-61'!$B$17</f>
        <v>579599.18999999994</v>
      </c>
      <c r="J34" s="759">
        <f>'ADU-61'!$B$20</f>
        <v>313193.48614862759</v>
      </c>
      <c r="K34" s="759">
        <f>'ADU-61'!$B$21</f>
        <v>0</v>
      </c>
      <c r="L34" s="760">
        <f>'ADU-61'!$B$23</f>
        <v>3.7934375581793671</v>
      </c>
      <c r="M34" s="767">
        <f>'ADU-61'!$B$19/1000</f>
        <v>340.88329199999998</v>
      </c>
      <c r="N34" s="762"/>
      <c r="O34" s="763" t="str">
        <f>'ADU-61'!$E$5</f>
        <v>Ne pas réaliser</v>
      </c>
      <c r="P34" s="764">
        <f>'ADU-61'!$B$15</f>
        <v>2014</v>
      </c>
      <c r="Q34" s="672">
        <f t="shared" si="0"/>
        <v>0</v>
      </c>
      <c r="R34" s="672">
        <f>IF(O34="Terminé",M34,0)</f>
        <v>0</v>
      </c>
      <c r="S34" s="672">
        <f>IF(D34="Agriculture",R34,0)</f>
        <v>0</v>
      </c>
      <c r="T34" s="672">
        <f>IF(D34="Industrie", R34,0)</f>
        <v>0</v>
      </c>
      <c r="U34" s="672">
        <f>IF(D34="Logement", R34,0)</f>
        <v>0</v>
      </c>
      <c r="V34" s="672">
        <f>IF(D34="Tertiaire",R34,0)</f>
        <v>0</v>
      </c>
      <c r="W34" s="672">
        <f>IF(D34="Transport",R34,0)</f>
        <v>0</v>
      </c>
      <c r="X34" s="672">
        <f>IF(D34="Communal",R34,0)</f>
        <v>0</v>
      </c>
    </row>
    <row r="35" spans="1:24" s="477" customFormat="1" x14ac:dyDescent="0.25">
      <c r="A35" s="676" t="s">
        <v>879</v>
      </c>
      <c r="B35" s="468" t="str">
        <f>'ADU-62'!$B$7</f>
        <v xml:space="preserve">Réduction de consommation </v>
      </c>
      <c r="C35" s="468" t="str">
        <f>'ADU-62'!$B$8</f>
        <v>Economies d'énergie dans le Logement 2006-2014</v>
      </c>
      <c r="D35" s="468" t="str">
        <f>'ADU-62'!$C$4</f>
        <v>Logement</v>
      </c>
      <c r="E35" s="468" t="str">
        <f>'ADU-62'!$B$11</f>
        <v>Citoyen</v>
      </c>
      <c r="F35" s="468" t="str">
        <f>'ADU-62'!$B$5</f>
        <v>Prêt bancaire</v>
      </c>
      <c r="G35" s="469">
        <f>'ADU-62'!$B$16</f>
        <v>8931170.9120635167</v>
      </c>
      <c r="H35" s="468" t="str">
        <f>'ADU-62'!$B$6</f>
        <v>Prime RW</v>
      </c>
      <c r="I35" s="469">
        <f>'ADU-62'!$B$17</f>
        <v>893117.09120635176</v>
      </c>
      <c r="J35" s="469">
        <f>'ADU-62'!$B$20</f>
        <v>15113064.934166837</v>
      </c>
      <c r="K35" s="469">
        <f>'ADU-62'!$B$21</f>
        <v>0</v>
      </c>
      <c r="L35" s="470">
        <f>'ADU-62'!$B$23</f>
        <v>0.53186126413611501</v>
      </c>
      <c r="M35" s="479">
        <f>'ADU-62'!$B$24</f>
        <v>4506.9959857308131</v>
      </c>
      <c r="N35" s="472"/>
      <c r="O35" s="473" t="str">
        <f>'ADU-62'!$E$5</f>
        <v>Terminé</v>
      </c>
      <c r="P35" s="474">
        <f>'ADU-62'!$B$15</f>
        <v>2014</v>
      </c>
      <c r="Q35" s="475">
        <f t="shared" ref="Q35" si="24">IF(O35="Terminé",M35,0)</f>
        <v>4506.9959857308131</v>
      </c>
      <c r="R35" s="475">
        <f>IF(O35="Terminé",M35,0)</f>
        <v>4506.9959857308131</v>
      </c>
      <c r="S35" s="475">
        <f>IF(D35="Agriculture",R35,0)</f>
        <v>0</v>
      </c>
      <c r="T35" s="475">
        <f>IF(D35="Industrie", R35,0)</f>
        <v>0</v>
      </c>
      <c r="U35" s="475">
        <f>IF(D35="Logement", R35,0)</f>
        <v>4506.9959857308131</v>
      </c>
      <c r="V35" s="475">
        <f>IF(D35="Tertiaire",R35,0)</f>
        <v>0</v>
      </c>
      <c r="W35" s="475">
        <f>IF(D35="Transport",R35,0)</f>
        <v>0</v>
      </c>
      <c r="X35" s="475">
        <f>IF(D35="Communal",R35,0)</f>
        <v>0</v>
      </c>
    </row>
    <row r="36" spans="1:24" s="417" customFormat="1" x14ac:dyDescent="0.25">
      <c r="A36" s="768" t="s">
        <v>162</v>
      </c>
      <c r="B36" s="409" t="str">
        <f>'ADU-7'!$B$7</f>
        <v>Réduction de la consommation électrique</v>
      </c>
      <c r="C36" s="409" t="str">
        <f>'ADU-7'!$B$8</f>
        <v>Ensemble des projets de réduction de consommation électrique dans les bâtiments communaux</v>
      </c>
      <c r="D36" s="409" t="str">
        <f>'ADU-7'!$C$4</f>
        <v>Communal</v>
      </c>
      <c r="E36" s="409" t="str">
        <f>'ADU-7'!$B$11</f>
        <v>AC HABAY</v>
      </c>
      <c r="F36" s="409" t="str">
        <f>'ADU-7'!$B$5</f>
        <v>Prêt bancaire</v>
      </c>
      <c r="G36" s="410">
        <f>'ADU-7'!$B$16</f>
        <v>60262</v>
      </c>
      <c r="H36" s="409" t="str">
        <f>'ADU-7'!$B$6</f>
        <v>Subs RW</v>
      </c>
      <c r="I36" s="410">
        <f>'ADU-7'!$B$17</f>
        <v>47169</v>
      </c>
      <c r="J36" s="410">
        <f>'ADU-7'!$B$20</f>
        <v>4339.2</v>
      </c>
      <c r="K36" s="410">
        <f>'ADU-7'!$B$21</f>
        <v>0</v>
      </c>
      <c r="L36" s="419">
        <f>'ADU-7'!$B$23</f>
        <v>3.0173764749262539</v>
      </c>
      <c r="M36" s="420">
        <f>'ADU-7'!$B$19/1000</f>
        <v>0</v>
      </c>
      <c r="N36" s="413"/>
      <c r="O36" s="414" t="str">
        <f>'ADU-7'!$E$5</f>
        <v>Terminé</v>
      </c>
      <c r="P36" s="421">
        <f>'ADU-7'!$B$15</f>
        <v>2016</v>
      </c>
      <c r="Q36" s="416">
        <f t="shared" si="0"/>
        <v>0</v>
      </c>
      <c r="R36" s="416">
        <f t="shared" si="1"/>
        <v>0</v>
      </c>
      <c r="S36" s="416">
        <f t="shared" si="2"/>
        <v>0</v>
      </c>
      <c r="T36" s="416">
        <f t="shared" si="3"/>
        <v>0</v>
      </c>
      <c r="U36" s="416">
        <f t="shared" si="4"/>
        <v>0</v>
      </c>
      <c r="V36" s="416">
        <f t="shared" si="5"/>
        <v>0</v>
      </c>
      <c r="W36" s="416">
        <f t="shared" si="6"/>
        <v>0</v>
      </c>
      <c r="X36" s="416">
        <f t="shared" si="7"/>
        <v>0</v>
      </c>
    </row>
    <row r="37" spans="1:24" s="576" customFormat="1" x14ac:dyDescent="0.25">
      <c r="A37" s="785" t="s">
        <v>166</v>
      </c>
      <c r="B37" s="569" t="str">
        <f>'ADU-8'!$B$7</f>
        <v>Réseau de chaleur</v>
      </c>
      <c r="C37" s="569" t="str">
        <f>'ADU-8'!$B$8</f>
        <v>Réseau de chaleur pour divers bâtiments communaux</v>
      </c>
      <c r="D37" s="569" t="str">
        <f>'ADU-8'!$C$4</f>
        <v>Communal</v>
      </c>
      <c r="E37" s="569" t="str">
        <f>'ADU-8'!$B$11</f>
        <v>AC HABAY</v>
      </c>
      <c r="F37" s="569" t="str">
        <f>'ADU-8'!$B$5</f>
        <v>Prêt bancaire</v>
      </c>
      <c r="G37" s="570">
        <f>'ADU-8'!$B$16</f>
        <v>1266000</v>
      </c>
      <c r="H37" s="569" t="str">
        <f>'ADU-8'!$B$6</f>
        <v>Subs RW</v>
      </c>
      <c r="I37" s="570">
        <f>'ADU-8'!$B$17</f>
        <v>500000</v>
      </c>
      <c r="J37" s="570">
        <f>'ADU-8'!$B$20</f>
        <v>326800</v>
      </c>
      <c r="K37" s="570">
        <f>'ADU-8'!$B$21</f>
        <v>0</v>
      </c>
      <c r="L37" s="571">
        <f>'ADU-8'!$B$23</f>
        <v>2.3439412484700122</v>
      </c>
      <c r="M37" s="589">
        <f>'ADU-8'!$B$19/1000</f>
        <v>3800</v>
      </c>
      <c r="N37" s="572"/>
      <c r="O37" s="573" t="str">
        <f>'ADU-8'!$E$5</f>
        <v>Terminé</v>
      </c>
      <c r="P37" s="574">
        <f>'ADU-8'!$B$15</f>
        <v>2017</v>
      </c>
      <c r="Q37" s="575">
        <f>IF(O37="Terminé",M37,0)</f>
        <v>3800</v>
      </c>
      <c r="R37" s="575">
        <f t="shared" si="1"/>
        <v>3800</v>
      </c>
      <c r="S37" s="575">
        <f t="shared" si="2"/>
        <v>0</v>
      </c>
      <c r="T37" s="575">
        <f t="shared" si="3"/>
        <v>0</v>
      </c>
      <c r="U37" s="575">
        <f t="shared" si="4"/>
        <v>0</v>
      </c>
      <c r="V37" s="575">
        <f t="shared" si="5"/>
        <v>0</v>
      </c>
      <c r="W37" s="575">
        <f t="shared" si="6"/>
        <v>0</v>
      </c>
      <c r="X37" s="575">
        <f t="shared" si="7"/>
        <v>3800</v>
      </c>
    </row>
    <row r="38" spans="1:24" s="576" customFormat="1" x14ac:dyDescent="0.25">
      <c r="A38" s="785" t="s">
        <v>170</v>
      </c>
      <c r="B38" s="569" t="str">
        <f>'ADU-9'!$B$7</f>
        <v>Mini réseau de chaleur</v>
      </c>
      <c r="C38" s="569" t="str">
        <f>'ADU-9'!$B$8</f>
        <v>Mini réseau de chaleur pour divers bâtiments communaux</v>
      </c>
      <c r="D38" s="569" t="str">
        <f>'ADU-9'!$C$4</f>
        <v>Communal</v>
      </c>
      <c r="E38" s="569" t="str">
        <f>'ADU-9'!$B$11</f>
        <v>AC HABAY</v>
      </c>
      <c r="F38" s="569" t="str">
        <f>'ADU-9'!$B$5</f>
        <v>Prêt bancaire</v>
      </c>
      <c r="G38" s="570">
        <f>'ADU-9'!$B$16</f>
        <v>450000</v>
      </c>
      <c r="H38" s="569" t="str">
        <f>'ADU-9'!$B$6</f>
        <v>Subs RW</v>
      </c>
      <c r="I38" s="570">
        <f>'ADU-9'!$B$17</f>
        <v>90000</v>
      </c>
      <c r="J38" s="570">
        <f>'ADU-9'!$B$20</f>
        <v>16818</v>
      </c>
      <c r="K38" s="570">
        <f>'ADU-9'!$B$21</f>
        <v>0</v>
      </c>
      <c r="L38" s="571">
        <f>'ADU-9'!$B$23</f>
        <v>21.405636817695328</v>
      </c>
      <c r="M38" s="589">
        <f>'ADU-9'!$B$19/1000</f>
        <v>466</v>
      </c>
      <c r="N38" s="572"/>
      <c r="O38" s="573" t="str">
        <f>'ADU-9'!$E$5</f>
        <v>Terminé</v>
      </c>
      <c r="P38" s="574">
        <f>'ADU-9'!$B$15</f>
        <v>2017</v>
      </c>
      <c r="Q38" s="575">
        <f>IF(O38="Terminé",M38,0)</f>
        <v>466</v>
      </c>
      <c r="R38" s="575">
        <f t="shared" si="1"/>
        <v>466</v>
      </c>
      <c r="S38" s="575">
        <f t="shared" si="2"/>
        <v>0</v>
      </c>
      <c r="T38" s="575">
        <f t="shared" si="3"/>
        <v>0</v>
      </c>
      <c r="U38" s="575">
        <f t="shared" si="4"/>
        <v>0</v>
      </c>
      <c r="V38" s="575">
        <f t="shared" si="5"/>
        <v>0</v>
      </c>
      <c r="W38" s="575">
        <f t="shared" si="6"/>
        <v>0</v>
      </c>
      <c r="X38" s="575">
        <f t="shared" si="7"/>
        <v>466</v>
      </c>
    </row>
    <row r="39" spans="1:24" s="244" customFormat="1" x14ac:dyDescent="0.25">
      <c r="A39" s="775" t="s">
        <v>409</v>
      </c>
      <c r="B39" s="265" t="str">
        <f>'ADU-10'!$B$7</f>
        <v>Eclairage public</v>
      </c>
      <c r="C39" s="265" t="str">
        <f>'ADU-10'!$B$8</f>
        <v>Application du plan EPURE</v>
      </c>
      <c r="D39" s="265" t="str">
        <f>'ADU-10'!$C$4</f>
        <v>Communal</v>
      </c>
      <c r="E39" s="265" t="str">
        <f>'ADU-10'!$B$11</f>
        <v>AC HABAY</v>
      </c>
      <c r="F39" s="265" t="str">
        <f>'ADU-10'!$B$5</f>
        <v>Fonds propres</v>
      </c>
      <c r="G39" s="266">
        <f>'ADU-10'!$B$16</f>
        <v>50000</v>
      </c>
      <c r="H39" s="265" t="str">
        <f>'ADU-10'!$B$6</f>
        <v>Subs RW</v>
      </c>
      <c r="I39" s="266">
        <f>'ADU-10'!$B$17</f>
        <v>0</v>
      </c>
      <c r="J39" s="266">
        <f>'ADU-10'!$B$20</f>
        <v>14535</v>
      </c>
      <c r="K39" s="266">
        <f>'ADU-10'!$B$21</f>
        <v>0</v>
      </c>
      <c r="L39" s="267">
        <f>'ADU-10'!$B$23</f>
        <v>3.4399724802201583</v>
      </c>
      <c r="M39" s="403">
        <f>'ADU-10'!$B$19/1000</f>
        <v>0</v>
      </c>
      <c r="N39" s="268"/>
      <c r="O39" s="269" t="str">
        <f>'ADU-10'!$E$5</f>
        <v>En cours</v>
      </c>
      <c r="P39" s="270">
        <f>'ADU-10'!$B$23</f>
        <v>3.4399724802201583</v>
      </c>
      <c r="Q39" s="416">
        <f t="shared" ref="Q39:Q40" si="25">IF(O39="Terminé",M39,0)</f>
        <v>0</v>
      </c>
      <c r="R39" s="247">
        <f t="shared" si="1"/>
        <v>0</v>
      </c>
      <c r="S39" s="247">
        <f t="shared" si="2"/>
        <v>0</v>
      </c>
      <c r="T39" s="247">
        <f t="shared" si="3"/>
        <v>0</v>
      </c>
      <c r="U39" s="247">
        <f t="shared" si="4"/>
        <v>0</v>
      </c>
      <c r="V39" s="247">
        <f t="shared" si="5"/>
        <v>0</v>
      </c>
      <c r="W39" s="247">
        <f t="shared" si="6"/>
        <v>0</v>
      </c>
      <c r="X39" s="247">
        <f t="shared" si="7"/>
        <v>0</v>
      </c>
    </row>
    <row r="40" spans="1:24" s="477" customFormat="1" x14ac:dyDescent="0.25">
      <c r="A40" s="769" t="s">
        <v>406</v>
      </c>
      <c r="B40" s="468" t="str">
        <f>'ADU-110'!$B$7</f>
        <v>Logement privé</v>
      </c>
      <c r="C40" s="468" t="str">
        <f>'ADU-110'!$B$8</f>
        <v>Rénovation - isolation de logements privés - Planchers</v>
      </c>
      <c r="D40" s="468" t="str">
        <f>'ADU-110'!$C$4</f>
        <v>Logement</v>
      </c>
      <c r="E40" s="560" t="str">
        <f>'ADU-110'!$B$11</f>
        <v>Citoyen</v>
      </c>
      <c r="F40" s="468" t="str">
        <f>'ADU-110'!$B$5</f>
        <v>ECOPACK</v>
      </c>
      <c r="G40" s="469">
        <f>'ADU-110'!$B$16</f>
        <v>450000</v>
      </c>
      <c r="H40" s="468" t="str">
        <f>'ADU-110'!$B$6</f>
        <v>Prime RW</v>
      </c>
      <c r="I40" s="469">
        <f>'ADU-110'!$B$17</f>
        <v>48000</v>
      </c>
      <c r="J40" s="469">
        <f>'ADU-110'!$B$20</f>
        <v>10818.505169867061</v>
      </c>
      <c r="K40" s="469">
        <f>'ADU-110'!$B$21</f>
        <v>0</v>
      </c>
      <c r="L40" s="470">
        <f>'ADU-110'!$B$23</f>
        <v>37.158553209337683</v>
      </c>
      <c r="M40" s="479">
        <f>'ADU-110'!$B$19/1000</f>
        <v>0</v>
      </c>
      <c r="N40" s="472"/>
      <c r="O40" s="473" t="str">
        <f>'ADU-110'!$E$5</f>
        <v>En cours</v>
      </c>
      <c r="P40" s="474">
        <f>'ADU-110'!$B$23</f>
        <v>37.158553209337683</v>
      </c>
      <c r="Q40" s="475">
        <f t="shared" si="25"/>
        <v>0</v>
      </c>
      <c r="R40" s="475">
        <f>IF(O40="Terminé",M40,0)</f>
        <v>0</v>
      </c>
      <c r="S40" s="475">
        <f>IF(D40="Agriculture",R40,0)</f>
        <v>0</v>
      </c>
      <c r="T40" s="475">
        <f>IF(D40="Industrie", R40,0)</f>
        <v>0</v>
      </c>
      <c r="U40" s="475">
        <f>IF(D40="Logement", R40,0)</f>
        <v>0</v>
      </c>
      <c r="V40" s="475">
        <f>IF(D40="Tertiaire",R40,0)</f>
        <v>0</v>
      </c>
      <c r="W40" s="475">
        <f>IF(D40="Transport",R40,0)</f>
        <v>0</v>
      </c>
      <c r="X40" s="475">
        <f>IF(D40="Communal",R40,0)</f>
        <v>0</v>
      </c>
    </row>
    <row r="41" spans="1:24" s="477" customFormat="1" x14ac:dyDescent="0.25">
      <c r="A41" s="769" t="s">
        <v>210</v>
      </c>
      <c r="B41" s="468" t="str">
        <f>'ADU-111'!$B$7</f>
        <v>Logement privé</v>
      </c>
      <c r="C41" s="468" t="str">
        <f>'ADU-111'!$B$8</f>
        <v>Rénovation - isolation de logements privés - Toitures</v>
      </c>
      <c r="D41" s="468" t="str">
        <f>'ADU-111'!$C$4</f>
        <v>Logement</v>
      </c>
      <c r="E41" s="468" t="str">
        <f>'ADU-111'!$B$11</f>
        <v>Citoyen</v>
      </c>
      <c r="F41" s="468" t="str">
        <f>'ADU-111'!$B$5</f>
        <v>ECOPACK</v>
      </c>
      <c r="G41" s="469">
        <f>'ADU-111'!$B$16</f>
        <v>1100000</v>
      </c>
      <c r="H41" s="468" t="str">
        <f>'ADU-111'!$B$6</f>
        <v>Prime RW</v>
      </c>
      <c r="I41" s="469">
        <f>'ADU-111'!$B$17</f>
        <v>110000</v>
      </c>
      <c r="J41" s="469">
        <f>'ADU-111'!$B$20</f>
        <v>67315.143279172815</v>
      </c>
      <c r="K41" s="469">
        <f>'ADU-111'!$B$21</f>
        <v>0</v>
      </c>
      <c r="L41" s="470">
        <f>'ADU-111'!$B$23</f>
        <v>14.706943367768249</v>
      </c>
      <c r="M41" s="479">
        <f>'ADU-111'!$B$19/1000</f>
        <v>0</v>
      </c>
      <c r="N41" s="472"/>
      <c r="O41" s="473" t="str">
        <f>'ADU-111'!$E$5</f>
        <v>En cours</v>
      </c>
      <c r="P41" s="474">
        <f>'ADU-10'!$B$23</f>
        <v>3.4399724802201583</v>
      </c>
      <c r="Q41" s="475">
        <f t="shared" si="0"/>
        <v>0</v>
      </c>
      <c r="R41" s="475">
        <f t="shared" si="1"/>
        <v>0</v>
      </c>
      <c r="S41" s="475">
        <f t="shared" si="2"/>
        <v>0</v>
      </c>
      <c r="T41" s="475">
        <f t="shared" si="3"/>
        <v>0</v>
      </c>
      <c r="U41" s="475">
        <f t="shared" si="4"/>
        <v>0</v>
      </c>
      <c r="V41" s="475">
        <f t="shared" si="5"/>
        <v>0</v>
      </c>
      <c r="W41" s="475">
        <f t="shared" si="6"/>
        <v>0</v>
      </c>
      <c r="X41" s="475">
        <f t="shared" si="7"/>
        <v>0</v>
      </c>
    </row>
    <row r="42" spans="1:24" s="477" customFormat="1" x14ac:dyDescent="0.25">
      <c r="A42" s="769" t="s">
        <v>211</v>
      </c>
      <c r="B42" s="468" t="str">
        <f>'ADU-112'!$B$7</f>
        <v>Logement privé</v>
      </c>
      <c r="C42" s="468" t="str">
        <f>'ADU-112'!$B$8</f>
        <v>Rénovation - isolation de logements privés - Murs extérieurs</v>
      </c>
      <c r="D42" s="468" t="str">
        <f>'ADU-112'!$C$4</f>
        <v>Logement</v>
      </c>
      <c r="E42" s="468" t="str">
        <f>'ADU-112'!$B$11</f>
        <v>Citoyen</v>
      </c>
      <c r="F42" s="468" t="str">
        <f>'ADU-112'!$B$5</f>
        <v>ECOPACK</v>
      </c>
      <c r="G42" s="469">
        <f>'ADU-112'!$B$16</f>
        <v>1400000</v>
      </c>
      <c r="H42" s="468" t="str">
        <f>'ADU-112'!$B$6</f>
        <v>Prime RW</v>
      </c>
      <c r="I42" s="469">
        <f>'ADU-112'!$B$17</f>
        <v>126000</v>
      </c>
      <c r="J42" s="469">
        <f>'ADU-112'!$B$20</f>
        <v>36920.295420974886</v>
      </c>
      <c r="K42" s="469">
        <f>'ADU-112'!$B$21</f>
        <v>0</v>
      </c>
      <c r="L42" s="470">
        <f>'ADU-112'!$B$23</f>
        <v>34.506766142402654</v>
      </c>
      <c r="M42" s="479">
        <f>'ADU-112'!$B$19/1000</f>
        <v>0</v>
      </c>
      <c r="N42" s="472"/>
      <c r="O42" s="473" t="str">
        <f>'ADU-112'!$E$5</f>
        <v>En cours</v>
      </c>
      <c r="P42" s="474">
        <f>'ADU-10'!$B$23</f>
        <v>3.4399724802201583</v>
      </c>
      <c r="Q42" s="475">
        <f t="shared" si="0"/>
        <v>0</v>
      </c>
      <c r="R42" s="475">
        <f t="shared" si="1"/>
        <v>0</v>
      </c>
      <c r="S42" s="475">
        <f t="shared" si="2"/>
        <v>0</v>
      </c>
      <c r="T42" s="475">
        <f t="shared" si="3"/>
        <v>0</v>
      </c>
      <c r="U42" s="475">
        <f t="shared" si="4"/>
        <v>0</v>
      </c>
      <c r="V42" s="475">
        <f t="shared" si="5"/>
        <v>0</v>
      </c>
      <c r="W42" s="475">
        <f t="shared" si="6"/>
        <v>0</v>
      </c>
      <c r="X42" s="475">
        <f t="shared" si="7"/>
        <v>0</v>
      </c>
    </row>
    <row r="43" spans="1:24" s="477" customFormat="1" x14ac:dyDescent="0.25">
      <c r="A43" s="769" t="s">
        <v>196</v>
      </c>
      <c r="B43" s="468" t="str">
        <f>'ADU-113'!$B$7</f>
        <v>Logement privé</v>
      </c>
      <c r="C43" s="468" t="str">
        <f>'ADU-113'!$B$8</f>
        <v>Rénovation - isolation de logements privés - vitrages</v>
      </c>
      <c r="D43" s="468" t="str">
        <f>'ADU-113'!$C$4</f>
        <v>Logement</v>
      </c>
      <c r="E43" s="468" t="str">
        <f>'ADU-113'!$B$11</f>
        <v>Citoyen</v>
      </c>
      <c r="F43" s="468" t="str">
        <f>'ADU-113'!$B$5</f>
        <v>ECOPACK</v>
      </c>
      <c r="G43" s="469">
        <f>'ADU-113'!$B$16</f>
        <v>324000</v>
      </c>
      <c r="H43" s="468" t="str">
        <f>'ADU-113'!$B$6</f>
        <v>Prime RW</v>
      </c>
      <c r="I43" s="469">
        <f>'ADU-113'!$B$17</f>
        <v>10800</v>
      </c>
      <c r="J43" s="469">
        <f>'ADU-113'!$B$20</f>
        <v>8860.8709010339753</v>
      </c>
      <c r="K43" s="469">
        <f>'ADU-113'!$B$21</f>
        <v>0</v>
      </c>
      <c r="L43" s="470">
        <f>'ADU-113'!$B$23</f>
        <v>35.346412728285287</v>
      </c>
      <c r="M43" s="479">
        <f>'ADU-113'!$B$19/1000</f>
        <v>0</v>
      </c>
      <c r="N43" s="472"/>
      <c r="O43" s="473" t="str">
        <f>'ADU-113'!$E$5</f>
        <v>En cours</v>
      </c>
      <c r="P43" s="474">
        <f>'ADU-113'!$B$15</f>
        <v>2020</v>
      </c>
      <c r="Q43" s="475">
        <f t="shared" si="0"/>
        <v>0</v>
      </c>
      <c r="R43" s="475">
        <f t="shared" si="1"/>
        <v>0</v>
      </c>
      <c r="S43" s="475">
        <f t="shared" si="2"/>
        <v>0</v>
      </c>
      <c r="T43" s="475">
        <f t="shared" si="3"/>
        <v>0</v>
      </c>
      <c r="U43" s="475">
        <f t="shared" si="4"/>
        <v>0</v>
      </c>
      <c r="V43" s="475">
        <f t="shared" si="5"/>
        <v>0</v>
      </c>
      <c r="W43" s="475">
        <f t="shared" si="6"/>
        <v>0</v>
      </c>
      <c r="X43" s="475">
        <f t="shared" si="7"/>
        <v>0</v>
      </c>
    </row>
    <row r="44" spans="1:24" s="477" customFormat="1" x14ac:dyDescent="0.25">
      <c r="A44" s="676" t="s">
        <v>700</v>
      </c>
      <c r="B44" s="468" t="str">
        <f>'ADU-114'!$B$7</f>
        <v>Logement privé</v>
      </c>
      <c r="C44" s="468" t="str">
        <f>'ADU-114'!$B$8</f>
        <v>Rénovation - isolation complète de logements privés</v>
      </c>
      <c r="D44" s="468" t="str">
        <f>'ADU-114'!$C$4</f>
        <v>Logement</v>
      </c>
      <c r="E44" s="468" t="str">
        <f>'ADU-114'!$B$11</f>
        <v>Citoyen</v>
      </c>
      <c r="F44" s="468" t="str">
        <f>'ADU-114'!$B$5</f>
        <v>ECOPACK</v>
      </c>
      <c r="G44" s="469">
        <f>'ADU-114'!$B$16</f>
        <v>1538500</v>
      </c>
      <c r="H44" s="468" t="str">
        <f>'ADU-114'!$B$6</f>
        <v>Prime RW</v>
      </c>
      <c r="I44" s="469">
        <f>'ADU-114'!$B$17</f>
        <v>271500</v>
      </c>
      <c r="J44" s="469">
        <f>'ADU-114'!$B$20</f>
        <v>51688.413589364849</v>
      </c>
      <c r="K44" s="469">
        <f>'ADU-114'!$B$21</f>
        <v>0</v>
      </c>
      <c r="L44" s="470">
        <f>'ADU-114'!$B$23</f>
        <v>24.512263233025429</v>
      </c>
      <c r="M44" s="479">
        <f>'ADU-114'!$B$19/1000</f>
        <v>0</v>
      </c>
      <c r="N44" s="472"/>
      <c r="O44" s="473" t="str">
        <f>'ADU-114'!$E$5</f>
        <v>En cours</v>
      </c>
      <c r="P44" s="474">
        <f>'ADU-114'!$B$15</f>
        <v>2020</v>
      </c>
      <c r="Q44" s="475">
        <f t="shared" si="0"/>
        <v>0</v>
      </c>
      <c r="R44" s="475">
        <f>IF(O44="Terminé",M44,0)</f>
        <v>0</v>
      </c>
      <c r="S44" s="475">
        <f>IF(D44="Agriculture",R44,0)</f>
        <v>0</v>
      </c>
      <c r="T44" s="475">
        <f>IF(D44="Industrie", R44,0)</f>
        <v>0</v>
      </c>
      <c r="U44" s="475">
        <f>IF(D44="Logement", R44,0)</f>
        <v>0</v>
      </c>
      <c r="V44" s="475">
        <f>IF(D44="Tertiaire",R44,0)</f>
        <v>0</v>
      </c>
      <c r="W44" s="475">
        <f>IF(D44="Transport",R44,0)</f>
        <v>0</v>
      </c>
      <c r="X44" s="475">
        <f>IF(D44="Communal",R44,0)</f>
        <v>0</v>
      </c>
    </row>
    <row r="45" spans="1:24" s="417" customFormat="1" x14ac:dyDescent="0.25">
      <c r="A45" s="768" t="s">
        <v>95</v>
      </c>
      <c r="B45" s="409" t="str">
        <f>'ADU-12'!$B$7</f>
        <v>Ecoles</v>
      </c>
      <c r="C45" s="409" t="str">
        <f>'ADU-12'!$B$8</f>
        <v xml:space="preserve">Economies d'énergie dans les bâtiments scolaires </v>
      </c>
      <c r="D45" s="409" t="str">
        <f>'ADU-12'!$C$4</f>
        <v>Communal</v>
      </c>
      <c r="E45" s="409" t="str">
        <f>'ADU-12'!$B$11</f>
        <v>AC HABAY</v>
      </c>
      <c r="F45" s="409" t="str">
        <f>'ADU-12'!$B$5</f>
        <v>Prêt bancaire</v>
      </c>
      <c r="G45" s="410">
        <f>'ADU-12'!$B$16</f>
        <v>1200000</v>
      </c>
      <c r="H45" s="409" t="str">
        <f>'ADU-12'!$B$6</f>
        <v>Subs RW</v>
      </c>
      <c r="I45" s="410">
        <f>'ADU-12'!$B$17</f>
        <v>600000</v>
      </c>
      <c r="J45" s="410">
        <f>'ADU-12'!$B$20</f>
        <v>27631.8</v>
      </c>
      <c r="K45" s="410">
        <f>'ADU-12'!$B$21</f>
        <v>0</v>
      </c>
      <c r="L45" s="419">
        <f>'ADU-12'!$B$23</f>
        <v>21.714112001389704</v>
      </c>
      <c r="M45" s="420">
        <f>'ADU-12'!$B$19/1000</f>
        <v>0</v>
      </c>
      <c r="N45" s="413"/>
      <c r="O45" s="414" t="str">
        <f>'ADU-12'!$E$5</f>
        <v>En cours</v>
      </c>
      <c r="P45" s="421">
        <f>'ADU-12'!$B$15</f>
        <v>2020</v>
      </c>
      <c r="Q45" s="247">
        <f t="shared" si="0"/>
        <v>0</v>
      </c>
      <c r="R45" s="416">
        <f t="shared" si="1"/>
        <v>0</v>
      </c>
      <c r="S45" s="416">
        <f t="shared" si="2"/>
        <v>0</v>
      </c>
      <c r="T45" s="416">
        <f t="shared" si="3"/>
        <v>0</v>
      </c>
      <c r="U45" s="416">
        <f t="shared" si="4"/>
        <v>0</v>
      </c>
      <c r="V45" s="416">
        <f t="shared" si="5"/>
        <v>0</v>
      </c>
      <c r="W45" s="416">
        <f t="shared" si="6"/>
        <v>0</v>
      </c>
      <c r="X45" s="416">
        <f t="shared" si="7"/>
        <v>0</v>
      </c>
    </row>
    <row r="46" spans="1:24" s="477" customFormat="1" x14ac:dyDescent="0.25">
      <c r="A46" s="769" t="s">
        <v>98</v>
      </c>
      <c r="B46" s="468" t="str">
        <f>'ADU-13'!$B$7</f>
        <v>Logement</v>
      </c>
      <c r="C46" s="468" t="str">
        <f>'ADU-13'!$B$8</f>
        <v>Eclairage économique</v>
      </c>
      <c r="D46" s="468" t="str">
        <f>'ADU-13'!$C$4</f>
        <v>Logement</v>
      </c>
      <c r="E46" s="468" t="str">
        <f>'ADU-13'!$B$11</f>
        <v>Citoyen</v>
      </c>
      <c r="F46" s="468" t="str">
        <f>'ADU-13'!$B$5</f>
        <v>Fonds propres</v>
      </c>
      <c r="G46" s="469">
        <f>'ADU-13'!$B$16</f>
        <v>70000</v>
      </c>
      <c r="H46" s="468" t="str">
        <f>'ADU-13'!$B$6</f>
        <v>Pas de subside</v>
      </c>
      <c r="I46" s="469">
        <f>'ADU-13'!$B$17</f>
        <v>0</v>
      </c>
      <c r="J46" s="469">
        <f>'ADU-13'!$B$20</f>
        <v>26280</v>
      </c>
      <c r="K46" s="469">
        <f>'ADU-13'!$B$21</f>
        <v>0</v>
      </c>
      <c r="L46" s="470">
        <f>'ADU-13'!$B$23</f>
        <v>2.6636225266362255</v>
      </c>
      <c r="M46" s="479">
        <f>'ADU-13'!$B$19/1000</f>
        <v>0</v>
      </c>
      <c r="N46" s="472"/>
      <c r="O46" s="473" t="str">
        <f>'ADU-13'!$E$5</f>
        <v>A faire</v>
      </c>
      <c r="P46" s="474">
        <f>'ADU-13'!$B$15</f>
        <v>2020</v>
      </c>
      <c r="Q46" s="475">
        <f t="shared" si="0"/>
        <v>0</v>
      </c>
      <c r="R46" s="475">
        <f t="shared" si="1"/>
        <v>0</v>
      </c>
      <c r="S46" s="475">
        <f t="shared" si="2"/>
        <v>0</v>
      </c>
      <c r="T46" s="475">
        <f t="shared" si="3"/>
        <v>0</v>
      </c>
      <c r="U46" s="475">
        <f t="shared" si="4"/>
        <v>0</v>
      </c>
      <c r="V46" s="475">
        <f t="shared" si="5"/>
        <v>0</v>
      </c>
      <c r="W46" s="475">
        <f t="shared" si="6"/>
        <v>0</v>
      </c>
      <c r="X46" s="475">
        <f t="shared" si="7"/>
        <v>0</v>
      </c>
    </row>
    <row r="47" spans="1:24" s="477" customFormat="1" x14ac:dyDescent="0.25">
      <c r="A47" s="676" t="s">
        <v>794</v>
      </c>
      <c r="B47" s="468" t="str">
        <f>'ADU-131'!$B$7</f>
        <v>Logement</v>
      </c>
      <c r="C47" s="468" t="str">
        <f>'ADU-131'!$B$8</f>
        <v>Equipements peu énergivore</v>
      </c>
      <c r="D47" s="468" t="str">
        <f>'ADU-131'!$C$4</f>
        <v>Logement</v>
      </c>
      <c r="E47" s="468" t="str">
        <f>'ADU-131'!$B$11</f>
        <v>Citoyen</v>
      </c>
      <c r="F47" s="468" t="str">
        <f>'ADU-131'!$B$5</f>
        <v>Fonds propres</v>
      </c>
      <c r="G47" s="469">
        <f>'ADU-131'!$B$16</f>
        <v>180000</v>
      </c>
      <c r="H47" s="468" t="str">
        <f>'ADU-131'!$B$6</f>
        <v>Pas de subside</v>
      </c>
      <c r="I47" s="469">
        <f>'ADU-131'!$B$17</f>
        <v>0</v>
      </c>
      <c r="J47" s="469">
        <f>'ADU-131'!$B$20</f>
        <v>21900</v>
      </c>
      <c r="K47" s="469">
        <f>'ADU-131'!$B$21</f>
        <v>0</v>
      </c>
      <c r="L47" s="470">
        <f>'ADU-131'!$B$23</f>
        <v>8.2191780821917817</v>
      </c>
      <c r="M47" s="479">
        <f>'ADU-131'!$B$19/1000</f>
        <v>0</v>
      </c>
      <c r="N47" s="472"/>
      <c r="O47" s="473" t="str">
        <f>'ADU-131'!$E$5</f>
        <v>En cours</v>
      </c>
      <c r="P47" s="474">
        <f>'ADU-131'!$B$15</f>
        <v>2020</v>
      </c>
      <c r="Q47" s="475">
        <f t="shared" si="0"/>
        <v>0</v>
      </c>
      <c r="R47" s="475">
        <f t="shared" ref="R47" si="26">IF(O47="Terminé",M47,0)</f>
        <v>0</v>
      </c>
      <c r="S47" s="475">
        <f t="shared" ref="S47" si="27">IF(D47="Agriculture",R47,0)</f>
        <v>0</v>
      </c>
      <c r="T47" s="475">
        <f t="shared" ref="T47" si="28">IF(D47="Industrie", R47,0)</f>
        <v>0</v>
      </c>
      <c r="U47" s="475">
        <f t="shared" ref="U47" si="29">IF(D47="Logement", R47,0)</f>
        <v>0</v>
      </c>
      <c r="V47" s="475">
        <f t="shared" ref="V47" si="30">IF(D47="Tertiaire",R47,0)</f>
        <v>0</v>
      </c>
      <c r="W47" s="475">
        <f t="shared" ref="W47" si="31">IF(D47="Transport",R47,0)</f>
        <v>0</v>
      </c>
      <c r="X47" s="475">
        <f t="shared" ref="X47" si="32">IF(D47="Communal",R47,0)</f>
        <v>0</v>
      </c>
    </row>
    <row r="48" spans="1:24" s="477" customFormat="1" x14ac:dyDescent="0.25">
      <c r="A48" s="769" t="s">
        <v>101</v>
      </c>
      <c r="B48" s="468" t="str">
        <f>'ADU-14'!$B$7</f>
        <v>Logement</v>
      </c>
      <c r="C48" s="468" t="str">
        <f>'ADU-14'!$B$8</f>
        <v>Chaudières à condensation</v>
      </c>
      <c r="D48" s="468" t="str">
        <f>'ADU-14'!$C$4</f>
        <v>Logement</v>
      </c>
      <c r="E48" s="468" t="str">
        <f>'ADU-14'!$B$11</f>
        <v>Citoyen</v>
      </c>
      <c r="F48" s="468" t="str">
        <f>'ADU-14'!$B$5</f>
        <v>Fonds propres</v>
      </c>
      <c r="G48" s="469">
        <f>'ADU-14'!$B$16</f>
        <v>500000</v>
      </c>
      <c r="H48" s="468" t="str">
        <f>'ADU-14'!$B$6</f>
        <v>Pas de subside</v>
      </c>
      <c r="I48" s="469">
        <f>'ADU-14'!$B$17</f>
        <v>0</v>
      </c>
      <c r="J48" s="469">
        <f>'ADU-14'!$B$20</f>
        <v>12797.612998522896</v>
      </c>
      <c r="K48" s="469">
        <f>'ADU-14'!$B$21</f>
        <v>0</v>
      </c>
      <c r="L48" s="470">
        <f>'ADU-14'!$B$23</f>
        <v>39.069785909115247</v>
      </c>
      <c r="M48" s="479">
        <f>'ADU-14'!$B$19/1000</f>
        <v>0</v>
      </c>
      <c r="N48" s="472"/>
      <c r="O48" s="473" t="str">
        <f>'ADU-14'!$E$5</f>
        <v>En cours</v>
      </c>
      <c r="P48" s="474">
        <f>'ADU-14'!$B$15</f>
        <v>2020</v>
      </c>
      <c r="Q48" s="475">
        <f t="shared" si="0"/>
        <v>0</v>
      </c>
      <c r="R48" s="475">
        <f t="shared" si="1"/>
        <v>0</v>
      </c>
      <c r="S48" s="475">
        <f t="shared" si="2"/>
        <v>0</v>
      </c>
      <c r="T48" s="475">
        <f t="shared" si="3"/>
        <v>0</v>
      </c>
      <c r="U48" s="475">
        <f t="shared" si="4"/>
        <v>0</v>
      </c>
      <c r="V48" s="475">
        <f t="shared" si="5"/>
        <v>0</v>
      </c>
      <c r="W48" s="475">
        <f t="shared" si="6"/>
        <v>0</v>
      </c>
      <c r="X48" s="475">
        <f t="shared" si="7"/>
        <v>0</v>
      </c>
    </row>
    <row r="49" spans="1:24" s="477" customFormat="1" x14ac:dyDescent="0.25">
      <c r="A49" s="769" t="s">
        <v>104</v>
      </c>
      <c r="B49" s="468" t="str">
        <f>'ADU-15'!$B$7</f>
        <v>Logement</v>
      </c>
      <c r="C49" s="468" t="str">
        <f>'ADU-15'!$B$8</f>
        <v>Changement de vecteur énergétique pour le chauffage</v>
      </c>
      <c r="D49" s="468" t="str">
        <f>'ADU-15'!$C$4</f>
        <v>Logement</v>
      </c>
      <c r="E49" s="468" t="str">
        <f>'ADU-15'!$B$11</f>
        <v>Citoyen</v>
      </c>
      <c r="F49" s="468" t="str">
        <f>'ADU-15'!$B$5</f>
        <v>ECOPACK</v>
      </c>
      <c r="G49" s="469">
        <f>'ADU-15'!$B$16</f>
        <v>750000</v>
      </c>
      <c r="H49" s="468" t="str">
        <f>'ADU-15'!$B$6</f>
        <v>Prime RW</v>
      </c>
      <c r="I49" s="469">
        <f>'ADU-15'!$B$17</f>
        <v>40000</v>
      </c>
      <c r="J49" s="469">
        <f>'ADU-15'!$B$20</f>
        <v>63988.064992614476</v>
      </c>
      <c r="K49" s="469">
        <f>'ADU-15'!$B$21</f>
        <v>0</v>
      </c>
      <c r="L49" s="470">
        <f>'ADU-15'!$B$23</f>
        <v>11.095819198188732</v>
      </c>
      <c r="M49" s="479">
        <f>'ADU-15'!$B$19/1000</f>
        <v>744.04726735598229</v>
      </c>
      <c r="N49" s="472"/>
      <c r="O49" s="473" t="str">
        <f>'ADU-15'!$E$5</f>
        <v>En cours</v>
      </c>
      <c r="P49" s="474">
        <f>'ADU-15'!$B$15</f>
        <v>2020</v>
      </c>
      <c r="Q49" s="475">
        <f t="shared" si="0"/>
        <v>0</v>
      </c>
      <c r="R49" s="475">
        <f t="shared" si="1"/>
        <v>0</v>
      </c>
      <c r="S49" s="475">
        <f t="shared" si="2"/>
        <v>0</v>
      </c>
      <c r="T49" s="475">
        <f t="shared" si="3"/>
        <v>0</v>
      </c>
      <c r="U49" s="475">
        <f t="shared" si="4"/>
        <v>0</v>
      </c>
      <c r="V49" s="475">
        <f t="shared" si="5"/>
        <v>0</v>
      </c>
      <c r="W49" s="475">
        <f t="shared" si="6"/>
        <v>0</v>
      </c>
      <c r="X49" s="475">
        <f t="shared" si="7"/>
        <v>0</v>
      </c>
    </row>
    <row r="50" spans="1:24" s="503" customFormat="1" x14ac:dyDescent="0.25">
      <c r="A50" s="770" t="s">
        <v>106</v>
      </c>
      <c r="B50" s="494" t="str">
        <f>'ADU-16'!$B$7</f>
        <v>Logement</v>
      </c>
      <c r="C50" s="494" t="str">
        <f>'ADU-16'!$B$8</f>
        <v>Installations photovoltaïques</v>
      </c>
      <c r="D50" s="494" t="str">
        <f>'ADU-16'!$C$4</f>
        <v>Logement</v>
      </c>
      <c r="E50" s="494" t="str">
        <f>'ADU-16'!$B$11</f>
        <v>Citoyen</v>
      </c>
      <c r="F50" s="494" t="str">
        <f>'ADU-16'!$B$5</f>
        <v>Prêt bancaire</v>
      </c>
      <c r="G50" s="495">
        <f>'ADU-16'!$B$16</f>
        <v>819835.80000000016</v>
      </c>
      <c r="H50" s="494" t="str">
        <f>'ADU-16'!$B$6</f>
        <v>Prime RW</v>
      </c>
      <c r="I50" s="495">
        <f>'ADU-16'!$B$17</f>
        <v>529925.80000000016</v>
      </c>
      <c r="J50" s="495">
        <f>'ADU-16'!$B$20</f>
        <v>36252</v>
      </c>
      <c r="K50" s="495">
        <f>'ADU-16'!$B$21</f>
        <v>0</v>
      </c>
      <c r="L50" s="496">
        <f>'ADU-16'!$B$23</f>
        <v>7.9970760233918128</v>
      </c>
      <c r="M50" s="505">
        <f>'ADU-16'!$B$19/1000</f>
        <v>241.68</v>
      </c>
      <c r="N50" s="498"/>
      <c r="O50" s="499" t="str">
        <f>'ADU-16'!$E$5</f>
        <v>Terminé</v>
      </c>
      <c r="P50" s="500">
        <f>'ADU-16'!$B$15</f>
        <v>2020</v>
      </c>
      <c r="Q50" s="501">
        <f t="shared" si="0"/>
        <v>241.68</v>
      </c>
      <c r="R50" s="501">
        <f t="shared" si="1"/>
        <v>241.68</v>
      </c>
      <c r="S50" s="501">
        <f t="shared" si="2"/>
        <v>0</v>
      </c>
      <c r="T50" s="501">
        <f t="shared" si="3"/>
        <v>0</v>
      </c>
      <c r="U50" s="501">
        <f t="shared" si="4"/>
        <v>241.68</v>
      </c>
      <c r="V50" s="501">
        <f t="shared" si="5"/>
        <v>0</v>
      </c>
      <c r="W50" s="501">
        <f t="shared" si="6"/>
        <v>0</v>
      </c>
      <c r="X50" s="501">
        <f t="shared" si="7"/>
        <v>0</v>
      </c>
    </row>
    <row r="51" spans="1:24" s="503" customFormat="1" x14ac:dyDescent="0.25">
      <c r="A51" s="770" t="s">
        <v>109</v>
      </c>
      <c r="B51" s="494" t="str">
        <f>'ADU-17'!$B$7</f>
        <v>bâtiments communaux</v>
      </c>
      <c r="C51" s="494" t="str">
        <f>'ADU-17'!$B$8</f>
        <v>Installations photovoltaïques pour les bâtiments communaux</v>
      </c>
      <c r="D51" s="494" t="str">
        <f>'ADU-17'!$C$4</f>
        <v>Communal</v>
      </c>
      <c r="E51" s="494" t="str">
        <f>'ADU-17'!$B$11</f>
        <v>AC HABAY</v>
      </c>
      <c r="F51" s="494" t="str">
        <f>'ADU-17'!$B$5</f>
        <v>Prêt bancaire</v>
      </c>
      <c r="G51" s="495">
        <f>'ADU-17'!$B$16</f>
        <v>257810.00000000003</v>
      </c>
      <c r="H51" s="494" t="str">
        <f>'ADU-17'!$B$6</f>
        <v>Prime RW</v>
      </c>
      <c r="I51" s="495">
        <f>'ADU-17'!$B$17</f>
        <v>166643.33333333337</v>
      </c>
      <c r="J51" s="495">
        <f>'ADU-17'!$B$20</f>
        <v>11400</v>
      </c>
      <c r="K51" s="495">
        <f>'ADU-17'!$B$21</f>
        <v>0</v>
      </c>
      <c r="L51" s="496">
        <f>'ADU-17'!$B$23</f>
        <v>7.9970760233918119</v>
      </c>
      <c r="M51" s="505">
        <f>'ADU-17'!$B$19/1000</f>
        <v>76</v>
      </c>
      <c r="N51" s="498"/>
      <c r="O51" s="499" t="str">
        <f>'ADU-17'!$E$5</f>
        <v>A faire</v>
      </c>
      <c r="P51" s="500">
        <f>'ADU-17'!$B$15</f>
        <v>2020</v>
      </c>
      <c r="Q51" s="501">
        <f t="shared" si="0"/>
        <v>0</v>
      </c>
      <c r="R51" s="501">
        <f t="shared" si="1"/>
        <v>0</v>
      </c>
      <c r="S51" s="501">
        <f t="shared" si="2"/>
        <v>0</v>
      </c>
      <c r="T51" s="501">
        <f t="shared" si="3"/>
        <v>0</v>
      </c>
      <c r="U51" s="501">
        <f t="shared" si="4"/>
        <v>0</v>
      </c>
      <c r="V51" s="501">
        <f t="shared" si="5"/>
        <v>0</v>
      </c>
      <c r="W51" s="501">
        <f t="shared" si="6"/>
        <v>0</v>
      </c>
      <c r="X51" s="501">
        <f t="shared" si="7"/>
        <v>0</v>
      </c>
    </row>
    <row r="52" spans="1:24" s="503" customFormat="1" x14ac:dyDescent="0.25">
      <c r="A52" s="770" t="s">
        <v>114</v>
      </c>
      <c r="B52" s="494" t="str">
        <f>'ADU-18'!$B$7</f>
        <v>bâtiments industriels</v>
      </c>
      <c r="C52" s="494" t="str">
        <f>'ADU-18'!$B$8</f>
        <v>Installations photovoltaïques pour les bâtiments industriels</v>
      </c>
      <c r="D52" s="494" t="str">
        <f>'ADU-18'!$C$4</f>
        <v>Industrie</v>
      </c>
      <c r="E52" s="494" t="str">
        <f>'ADU-18'!$B$11</f>
        <v>Industrie</v>
      </c>
      <c r="F52" s="494" t="str">
        <f>'ADU-18'!$B$5</f>
        <v>Prêt bancaire</v>
      </c>
      <c r="G52" s="495">
        <f>'ADU-18'!$B$16</f>
        <v>2764850</v>
      </c>
      <c r="H52" s="494" t="str">
        <f>'ADU-18'!$B$6</f>
        <v>CV</v>
      </c>
      <c r="I52" s="495">
        <f>'ADU-18'!$B$17</f>
        <v>0</v>
      </c>
      <c r="J52" s="495">
        <f>'ADU-18'!$B$20</f>
        <v>127500</v>
      </c>
      <c r="K52" s="495">
        <f>'ADU-18'!$B$21</f>
        <v>132600</v>
      </c>
      <c r="L52" s="496">
        <f>'ADU-18'!$B$23</f>
        <v>10.629950019223376</v>
      </c>
      <c r="M52" s="505">
        <f>'ADU-18'!$B$19/1000</f>
        <v>850</v>
      </c>
      <c r="N52" s="498"/>
      <c r="O52" s="499" t="str">
        <f>'ADU-18'!$E$5</f>
        <v>A faire</v>
      </c>
      <c r="P52" s="500">
        <f>'ADU-18'!$B$15</f>
        <v>2020</v>
      </c>
      <c r="Q52" s="501">
        <f t="shared" si="0"/>
        <v>0</v>
      </c>
      <c r="R52" s="501">
        <f t="shared" si="1"/>
        <v>0</v>
      </c>
      <c r="S52" s="501">
        <f t="shared" si="2"/>
        <v>0</v>
      </c>
      <c r="T52" s="501">
        <f t="shared" si="3"/>
        <v>0</v>
      </c>
      <c r="U52" s="501">
        <f t="shared" si="4"/>
        <v>0</v>
      </c>
      <c r="V52" s="501">
        <f t="shared" si="5"/>
        <v>0</v>
      </c>
      <c r="W52" s="501">
        <f t="shared" si="6"/>
        <v>0</v>
      </c>
      <c r="X52" s="501">
        <f t="shared" si="7"/>
        <v>0</v>
      </c>
    </row>
    <row r="53" spans="1:24" s="503" customFormat="1" x14ac:dyDescent="0.25">
      <c r="A53" s="770" t="s">
        <v>118</v>
      </c>
      <c r="B53" s="494" t="str">
        <f>'ADU-19'!$B$7</f>
        <v>bâtiments agricoles</v>
      </c>
      <c r="C53" s="494" t="str">
        <f>'ADU-19'!$B$8</f>
        <v>Installations photovoltaïques pour les bâtiments agricoles</v>
      </c>
      <c r="D53" s="494" t="str">
        <f>'ADU-19'!$C$4</f>
        <v>Agriculture</v>
      </c>
      <c r="E53" s="494" t="str">
        <f>'ADU-19'!$B$11</f>
        <v>Agriculture</v>
      </c>
      <c r="F53" s="494" t="str">
        <f>'ADU-19'!$B$5</f>
        <v>1/3 invest</v>
      </c>
      <c r="G53" s="495">
        <f>'ADU-19'!$B$16</f>
        <v>276485</v>
      </c>
      <c r="H53" s="494" t="str">
        <f>'ADU-19'!$B$6</f>
        <v>CV</v>
      </c>
      <c r="I53" s="495">
        <f>'ADU-19'!$B$17</f>
        <v>0</v>
      </c>
      <c r="J53" s="495">
        <f>'ADU-19'!$B$20</f>
        <v>12750</v>
      </c>
      <c r="K53" s="495">
        <f>'ADU-19'!$B$21</f>
        <v>13260</v>
      </c>
      <c r="L53" s="496">
        <f>'ADU-19'!$B$23</f>
        <v>10.629950019223376</v>
      </c>
      <c r="M53" s="505">
        <f>'ADU-19'!$B$19/1000</f>
        <v>85</v>
      </c>
      <c r="N53" s="498"/>
      <c r="O53" s="499" t="str">
        <f>'ADU-19'!$E$5</f>
        <v>A faire</v>
      </c>
      <c r="P53" s="500">
        <f>'ADU-19'!$B$15</f>
        <v>2020</v>
      </c>
      <c r="Q53" s="501">
        <f t="shared" si="0"/>
        <v>0</v>
      </c>
      <c r="R53" s="501">
        <f t="shared" si="1"/>
        <v>0</v>
      </c>
      <c r="S53" s="501">
        <f t="shared" si="2"/>
        <v>0</v>
      </c>
      <c r="T53" s="501">
        <f t="shared" si="3"/>
        <v>0</v>
      </c>
      <c r="U53" s="501">
        <f t="shared" si="4"/>
        <v>0</v>
      </c>
      <c r="V53" s="501">
        <f t="shared" si="5"/>
        <v>0</v>
      </c>
      <c r="W53" s="501">
        <f t="shared" si="6"/>
        <v>0</v>
      </c>
      <c r="X53" s="501">
        <f t="shared" si="7"/>
        <v>0</v>
      </c>
    </row>
    <row r="54" spans="1:24" s="503" customFormat="1" x14ac:dyDescent="0.25">
      <c r="A54" s="770" t="s">
        <v>121</v>
      </c>
      <c r="B54" s="494" t="str">
        <f>'ADU-20'!$B$7</f>
        <v>bâtiments tertiaires</v>
      </c>
      <c r="C54" s="494" t="str">
        <f>'ADU-20'!$B$8</f>
        <v>Installations photovoltaïques pour les bâtiments tertiaires</v>
      </c>
      <c r="D54" s="494" t="str">
        <f>'ADU-20'!$C$4</f>
        <v>Tertiaire</v>
      </c>
      <c r="E54" s="494" t="str">
        <f>'ADU-20'!$B$11</f>
        <v>Tertiaire</v>
      </c>
      <c r="F54" s="494" t="str">
        <f>'ADU-20'!$B$5</f>
        <v>Prêt bancaire</v>
      </c>
      <c r="G54" s="495">
        <f>'ADU-20'!$B$16</f>
        <v>829455</v>
      </c>
      <c r="H54" s="494" t="str">
        <f>'ADU-20'!$B$6</f>
        <v>Prime RW</v>
      </c>
      <c r="I54" s="495">
        <f>'ADU-20'!$B$17</f>
        <v>0</v>
      </c>
      <c r="J54" s="495">
        <f>'ADU-20'!$B$20</f>
        <v>38250</v>
      </c>
      <c r="K54" s="495">
        <f>'ADU-20'!$B$21</f>
        <v>39780</v>
      </c>
      <c r="L54" s="496">
        <f>'ADU-20'!$B$23</f>
        <v>10.629950019223376</v>
      </c>
      <c r="M54" s="505">
        <f>'ADU-20'!$B$19/1000</f>
        <v>255</v>
      </c>
      <c r="N54" s="498"/>
      <c r="O54" s="499" t="str">
        <f>'ADU-20'!$E$5</f>
        <v>A faire</v>
      </c>
      <c r="P54" s="500">
        <f>'ADU-20'!$B$15</f>
        <v>2020</v>
      </c>
      <c r="Q54" s="501">
        <f t="shared" si="0"/>
        <v>0</v>
      </c>
      <c r="R54" s="501">
        <f t="shared" si="1"/>
        <v>0</v>
      </c>
      <c r="S54" s="501">
        <f t="shared" si="2"/>
        <v>0</v>
      </c>
      <c r="T54" s="501">
        <f t="shared" si="3"/>
        <v>0</v>
      </c>
      <c r="U54" s="501">
        <f t="shared" si="4"/>
        <v>0</v>
      </c>
      <c r="V54" s="501">
        <f t="shared" si="5"/>
        <v>0</v>
      </c>
      <c r="W54" s="501">
        <f t="shared" si="6"/>
        <v>0</v>
      </c>
      <c r="X54" s="501">
        <f t="shared" si="7"/>
        <v>0</v>
      </c>
    </row>
    <row r="55" spans="1:24" s="503" customFormat="1" x14ac:dyDescent="0.25">
      <c r="A55" s="770" t="s">
        <v>122</v>
      </c>
      <c r="B55" s="494" t="str">
        <f>'ADU-21'!$B$7</f>
        <v>Industrie</v>
      </c>
      <c r="C55" s="494" t="str">
        <f>'ADU-21'!$B$8</f>
        <v>Installation d'une de 1 éoliennes de 10 kW</v>
      </c>
      <c r="D55" s="494" t="str">
        <f>'ADU-21'!$C$4</f>
        <v>Industrie</v>
      </c>
      <c r="E55" s="494" t="str">
        <f>'ADU-21'!$B$11</f>
        <v>Industrie</v>
      </c>
      <c r="F55" s="494" t="str">
        <f>'ADU-21'!$B$5</f>
        <v>1/3 invest</v>
      </c>
      <c r="G55" s="495">
        <f>'ADU-21'!$B$16</f>
        <v>195000</v>
      </c>
      <c r="H55" s="494" t="str">
        <f>'ADU-21'!$B$6</f>
        <v>Subs RW</v>
      </c>
      <c r="I55" s="495">
        <f>'ADU-21'!$B$17</f>
        <v>39000</v>
      </c>
      <c r="J55" s="495">
        <f>'ADU-21'!$B$20</f>
        <v>3559.1880000000001</v>
      </c>
      <c r="K55" s="495">
        <f>'ADU-21'!$B$21</f>
        <v>1360.866</v>
      </c>
      <c r="L55" s="496">
        <f>'ADU-21'!$B$23</f>
        <v>31.70696906985167</v>
      </c>
      <c r="M55" s="505">
        <f>'ADU-21'!$B$19/1000</f>
        <v>20.936399999999999</v>
      </c>
      <c r="N55" s="498"/>
      <c r="O55" s="499" t="str">
        <f>'ADU-21'!$E$5</f>
        <v>Terminé</v>
      </c>
      <c r="P55" s="500">
        <f>'ADU-21'!$B$15</f>
        <v>2020</v>
      </c>
      <c r="Q55" s="501">
        <f t="shared" si="0"/>
        <v>20.936399999999999</v>
      </c>
      <c r="R55" s="501">
        <f t="shared" si="1"/>
        <v>20.936399999999999</v>
      </c>
      <c r="S55" s="501">
        <f t="shared" si="2"/>
        <v>0</v>
      </c>
      <c r="T55" s="501">
        <f t="shared" si="3"/>
        <v>20.936399999999999</v>
      </c>
      <c r="U55" s="501">
        <f t="shared" si="4"/>
        <v>0</v>
      </c>
      <c r="V55" s="501">
        <f t="shared" si="5"/>
        <v>0</v>
      </c>
      <c r="W55" s="501">
        <f t="shared" si="6"/>
        <v>0</v>
      </c>
      <c r="X55" s="501">
        <f t="shared" si="7"/>
        <v>0</v>
      </c>
    </row>
    <row r="56" spans="1:24" s="477" customFormat="1" x14ac:dyDescent="0.25">
      <c r="A56" s="769" t="s">
        <v>123</v>
      </c>
      <c r="B56" s="468" t="str">
        <f>'ADU-22'!$B$7</f>
        <v>Solaire thermique</v>
      </c>
      <c r="C56" s="468" t="str">
        <f>'ADU-22'!$B$8</f>
        <v xml:space="preserve">Installation solaires thermiques </v>
      </c>
      <c r="D56" s="468" t="str">
        <f>'ADU-22'!$C$4</f>
        <v>Logement</v>
      </c>
      <c r="E56" s="468" t="str">
        <f>'ADU-22'!$B$11</f>
        <v>Citoyen</v>
      </c>
      <c r="F56" s="468" t="str">
        <f>'ADU-22'!$B$5</f>
        <v>ECOPACK</v>
      </c>
      <c r="G56" s="469">
        <f>'ADU-22'!$B$16</f>
        <v>450000</v>
      </c>
      <c r="H56" s="468" t="str">
        <f>'ADU-22'!$B$6</f>
        <v>Prime RW</v>
      </c>
      <c r="I56" s="469">
        <f>'ADU-22'!$B$17</f>
        <v>200000</v>
      </c>
      <c r="J56" s="469">
        <f>'ADU-22'!$B$20</f>
        <v>22549.200000000001</v>
      </c>
      <c r="K56" s="469">
        <f>'ADU-22'!$B$21</f>
        <v>0</v>
      </c>
      <c r="L56" s="470">
        <f>'ADU-22'!$B$23</f>
        <v>11.086867826796516</v>
      </c>
      <c r="M56" s="479">
        <f>'ADU-22'!$B$19/1000</f>
        <v>262.2</v>
      </c>
      <c r="N56" s="472"/>
      <c r="O56" s="473" t="str">
        <f>'ADU-22'!$E$5</f>
        <v>A faire</v>
      </c>
      <c r="P56" s="474">
        <f>'ADU-22'!$B$15</f>
        <v>2020</v>
      </c>
      <c r="Q56" s="475">
        <f t="shared" si="0"/>
        <v>0</v>
      </c>
      <c r="R56" s="475">
        <f t="shared" si="1"/>
        <v>0</v>
      </c>
      <c r="S56" s="475">
        <f t="shared" si="2"/>
        <v>0</v>
      </c>
      <c r="T56" s="475">
        <f t="shared" si="3"/>
        <v>0</v>
      </c>
      <c r="U56" s="475">
        <f t="shared" si="4"/>
        <v>0</v>
      </c>
      <c r="V56" s="475">
        <f t="shared" si="5"/>
        <v>0</v>
      </c>
      <c r="W56" s="475">
        <f t="shared" si="6"/>
        <v>0</v>
      </c>
      <c r="X56" s="475">
        <f t="shared" si="7"/>
        <v>0</v>
      </c>
    </row>
    <row r="57" spans="1:24" s="464" customFormat="1" x14ac:dyDescent="0.25">
      <c r="A57" s="776" t="s">
        <v>124</v>
      </c>
      <c r="B57" s="456" t="str">
        <f>'ADU-23'!$B$7</f>
        <v>Agriculteurs</v>
      </c>
      <c r="C57" s="456" t="str">
        <f>'ADU-23'!$B$8</f>
        <v xml:space="preserve">Installation d'une centrale de production de biogaz </v>
      </c>
      <c r="D57" s="456" t="str">
        <f>'ADU-23'!$C$4</f>
        <v>Agriculture</v>
      </c>
      <c r="E57" s="456" t="str">
        <f>'ADU-23'!$B$11</f>
        <v>Agriculture</v>
      </c>
      <c r="F57" s="456" t="str">
        <f>'ADU-23'!$B$5</f>
        <v>Montage</v>
      </c>
      <c r="G57" s="457">
        <f>'ADU-23'!$B$16</f>
        <v>15000000</v>
      </c>
      <c r="H57" s="456" t="str">
        <f>'ADU-23'!$B$6</f>
        <v>Subs EU</v>
      </c>
      <c r="I57" s="457">
        <f>'ADU-23'!$B$17</f>
        <v>7500000</v>
      </c>
      <c r="J57" s="457">
        <f>'ADU-23'!$B$20</f>
        <v>186328.584</v>
      </c>
      <c r="K57" s="457">
        <f>'ADU-23'!$B$21</f>
        <v>197730</v>
      </c>
      <c r="L57" s="458">
        <f>'ADU-23'!$B$23</f>
        <v>19.528270718198552</v>
      </c>
      <c r="M57" s="466">
        <f>'ADU-23'!$B$19/1000</f>
        <v>3042</v>
      </c>
      <c r="N57" s="460"/>
      <c r="O57" s="461" t="str">
        <f>'ADU-23'!$E$5</f>
        <v>Ne pas réaliser</v>
      </c>
      <c r="P57" s="462">
        <f>'ADU-23'!$B$15</f>
        <v>2020</v>
      </c>
      <c r="Q57" s="463">
        <f t="shared" si="0"/>
        <v>0</v>
      </c>
      <c r="R57" s="463">
        <f t="shared" si="1"/>
        <v>0</v>
      </c>
      <c r="S57" s="463">
        <f t="shared" si="2"/>
        <v>0</v>
      </c>
      <c r="T57" s="463">
        <f t="shared" si="3"/>
        <v>0</v>
      </c>
      <c r="U57" s="463">
        <f t="shared" si="4"/>
        <v>0</v>
      </c>
      <c r="V57" s="463">
        <f t="shared" si="5"/>
        <v>0</v>
      </c>
      <c r="W57" s="463">
        <f t="shared" si="6"/>
        <v>0</v>
      </c>
      <c r="X57" s="463">
        <f t="shared" si="7"/>
        <v>0</v>
      </c>
    </row>
    <row r="58" spans="1:24" s="464" customFormat="1" x14ac:dyDescent="0.25">
      <c r="A58" s="776" t="s">
        <v>129</v>
      </c>
      <c r="B58" s="456" t="str">
        <f>'ADU-24'!$B$7</f>
        <v>Biogaz sur cultures dédiées</v>
      </c>
      <c r="C58" s="456" t="str">
        <f>'ADU-24'!$B$8</f>
        <v>Biogaz sur cultures dédiées</v>
      </c>
      <c r="D58" s="456" t="str">
        <f>'ADU-24'!$C$4</f>
        <v>Agriculture</v>
      </c>
      <c r="E58" s="456">
        <f>'ADU-24'!$B$14</f>
        <v>2014</v>
      </c>
      <c r="F58" s="456" t="str">
        <f>'ADU-24'!$B$5</f>
        <v>Montage</v>
      </c>
      <c r="G58" s="457">
        <f>'ADU-24'!$B$16</f>
        <v>15000000</v>
      </c>
      <c r="H58" s="456" t="str">
        <f>'ADU-24'!$B$6</f>
        <v>Subs EU</v>
      </c>
      <c r="I58" s="457">
        <f>'ADU-24'!$B$17</f>
        <v>7500000</v>
      </c>
      <c r="J58" s="457">
        <f>'ADU-24'!$B$20</f>
        <v>230426.34888000001</v>
      </c>
      <c r="K58" s="457">
        <f>'ADU-24'!$B$21</f>
        <v>244526.1</v>
      </c>
      <c r="L58" s="458">
        <f>'ADU-24'!$B$23</f>
        <v>15.791054489109342</v>
      </c>
      <c r="M58" s="466">
        <f>'ADU-24'!$B$19/1000</f>
        <v>3761.94</v>
      </c>
      <c r="N58" s="460"/>
      <c r="O58" s="461" t="str">
        <f>'ADU-24'!$E$5</f>
        <v>Ne pas réaliser</v>
      </c>
      <c r="P58" s="462">
        <f>'ADU-24'!$B$18</f>
        <v>3761940</v>
      </c>
      <c r="Q58" s="463">
        <f t="shared" si="0"/>
        <v>0</v>
      </c>
      <c r="R58" s="463">
        <f t="shared" si="1"/>
        <v>0</v>
      </c>
      <c r="S58" s="463">
        <f t="shared" si="2"/>
        <v>0</v>
      </c>
      <c r="T58" s="463">
        <f t="shared" si="3"/>
        <v>0</v>
      </c>
      <c r="U58" s="463">
        <f t="shared" si="4"/>
        <v>0</v>
      </c>
      <c r="V58" s="463">
        <f t="shared" si="5"/>
        <v>0</v>
      </c>
      <c r="W58" s="463">
        <f t="shared" si="6"/>
        <v>0</v>
      </c>
      <c r="X58" s="463">
        <f t="shared" si="7"/>
        <v>0</v>
      </c>
    </row>
    <row r="59" spans="1:24" s="516" customFormat="1" x14ac:dyDescent="0.25">
      <c r="A59" s="772" t="s">
        <v>130</v>
      </c>
      <c r="B59" s="508" t="str">
        <f>'ADU-25'!$B$7</f>
        <v>Agriculteurs</v>
      </c>
      <c r="C59" s="508" t="str">
        <f>'ADU-25'!$B$8</f>
        <v>Diagnostics énergétiques d'exploitations agricoles</v>
      </c>
      <c r="D59" s="508" t="str">
        <f>'ADU-25'!$C$4</f>
        <v>Agriculture</v>
      </c>
      <c r="E59" s="508" t="str">
        <f>'ADU-25'!$B$11</f>
        <v>Agriculture</v>
      </c>
      <c r="F59" s="508" t="str">
        <f>'ADU-25'!$B$5</f>
        <v>Fonds propres</v>
      </c>
      <c r="G59" s="551">
        <f>'ADU-25'!$B$16</f>
        <v>50000</v>
      </c>
      <c r="H59" s="508" t="str">
        <f>'ADU-25'!$B$6</f>
        <v>Pas de subside</v>
      </c>
      <c r="I59" s="551">
        <f>'ADU-25'!$B$17</f>
        <v>10000</v>
      </c>
      <c r="J59" s="551">
        <f>'ADU-25'!$B$20</f>
        <v>8726.4</v>
      </c>
      <c r="K59" s="551">
        <f>'ADU-25'!$B$21</f>
        <v>0</v>
      </c>
      <c r="L59" s="552">
        <f>'ADU-25'!$B$23</f>
        <v>4.5837917125045839</v>
      </c>
      <c r="M59" s="558">
        <f>'ADU-25'!$B$19/1000</f>
        <v>0</v>
      </c>
      <c r="N59" s="554"/>
      <c r="O59" s="555" t="str">
        <f>'ADU-25'!$E$5</f>
        <v>A faire</v>
      </c>
      <c r="P59" s="513">
        <f>'ADU-25'!$B$15</f>
        <v>2019</v>
      </c>
      <c r="Q59" s="514">
        <f>IF(O59="Terminé",M59,0)</f>
        <v>0</v>
      </c>
      <c r="R59" s="514">
        <f t="shared" si="1"/>
        <v>0</v>
      </c>
      <c r="S59" s="514">
        <f t="shared" si="2"/>
        <v>0</v>
      </c>
      <c r="T59" s="514">
        <f t="shared" si="3"/>
        <v>0</v>
      </c>
      <c r="U59" s="514">
        <f t="shared" si="4"/>
        <v>0</v>
      </c>
      <c r="V59" s="514">
        <f t="shared" si="5"/>
        <v>0</v>
      </c>
      <c r="W59" s="514">
        <f t="shared" si="6"/>
        <v>0</v>
      </c>
      <c r="X59" s="514">
        <f t="shared" si="7"/>
        <v>0</v>
      </c>
    </row>
    <row r="60" spans="1:24" s="490" customFormat="1" x14ac:dyDescent="0.25">
      <c r="A60" s="777" t="s">
        <v>275</v>
      </c>
      <c r="B60" s="481" t="str">
        <f>'ADU-26'!$B$7</f>
        <v>Processus de fabrication</v>
      </c>
      <c r="C60" s="481" t="str">
        <f>'ADU-26'!$B$8</f>
        <v>Réduction des consommations des processus de fabrication</v>
      </c>
      <c r="D60" s="481" t="str">
        <f>'ADU-26'!$C$4</f>
        <v>Industrie</v>
      </c>
      <c r="E60" s="481" t="str">
        <f>'ADU-26'!$B$11</f>
        <v>Industrie</v>
      </c>
      <c r="F60" s="481" t="str">
        <f>'ADU-26'!$B$5</f>
        <v>Fonds propres</v>
      </c>
      <c r="G60" s="482">
        <f>'ADU-26'!$B$16</f>
        <v>300000</v>
      </c>
      <c r="H60" s="481" t="str">
        <f>'ADU-26'!$B$6</f>
        <v>Pas de subside</v>
      </c>
      <c r="I60" s="482">
        <f>'ADU-26'!$B$17</f>
        <v>90000</v>
      </c>
      <c r="J60" s="482">
        <f>'ADU-26'!$B$20</f>
        <v>44605.3125</v>
      </c>
      <c r="K60" s="482">
        <f>'ADU-26'!$B$21</f>
        <v>0</v>
      </c>
      <c r="L60" s="483">
        <f>'ADU-26'!$B$23</f>
        <v>4.7079593938502278</v>
      </c>
      <c r="M60" s="492">
        <f>'ADU-26'!$B$19/1000</f>
        <v>0</v>
      </c>
      <c r="N60" s="485"/>
      <c r="O60" s="486" t="str">
        <f>'ADU-26'!$E$5</f>
        <v>A faire</v>
      </c>
      <c r="P60" s="487">
        <f>'ADU-26'!$B$15</f>
        <v>2019</v>
      </c>
      <c r="Q60" s="488">
        <f t="shared" si="0"/>
        <v>0</v>
      </c>
      <c r="R60" s="488">
        <f t="shared" si="1"/>
        <v>0</v>
      </c>
      <c r="S60" s="488">
        <f t="shared" si="2"/>
        <v>0</v>
      </c>
      <c r="T60" s="488">
        <f t="shared" si="3"/>
        <v>0</v>
      </c>
      <c r="U60" s="488">
        <f t="shared" si="4"/>
        <v>0</v>
      </c>
      <c r="V60" s="488">
        <f t="shared" si="5"/>
        <v>0</v>
      </c>
      <c r="W60" s="488">
        <f t="shared" si="6"/>
        <v>0</v>
      </c>
      <c r="X60" s="488">
        <f t="shared" si="7"/>
        <v>0</v>
      </c>
    </row>
    <row r="61" spans="1:24" s="524" customFormat="1" x14ac:dyDescent="0.25">
      <c r="A61" s="778" t="s">
        <v>793</v>
      </c>
      <c r="B61" s="521" t="str">
        <f>'ADU-261'!$B$7</f>
        <v xml:space="preserve">Performance énergétique </v>
      </c>
      <c r="C61" s="521" t="str">
        <f>'ADU-261'!$B$8</f>
        <v>Performance énergétique des bâtiments tertiares</v>
      </c>
      <c r="D61" s="521" t="str">
        <f>'ADU-261'!$C$4</f>
        <v>Tertiaire</v>
      </c>
      <c r="E61" s="521" t="str">
        <f>'ADU-261'!$B$11</f>
        <v>Tertiaire</v>
      </c>
      <c r="F61" s="521" t="str">
        <f>'ADU-261'!$B$5</f>
        <v>Fonds propres</v>
      </c>
      <c r="G61" s="563">
        <f>'ADU-261'!$B$16</f>
        <v>20000</v>
      </c>
      <c r="H61" s="521" t="str">
        <f>'ADU-261'!$B$6</f>
        <v>Pas de subside</v>
      </c>
      <c r="I61" s="563">
        <f>'ADU-261'!$B$17</f>
        <v>0</v>
      </c>
      <c r="J61" s="563">
        <f>'ADU-261'!$B$20</f>
        <v>248007.89753976293</v>
      </c>
      <c r="K61" s="563">
        <f>'ADU-261'!$B$21</f>
        <v>0</v>
      </c>
      <c r="L61" s="564">
        <f>'ADU-261'!$B$23</f>
        <v>8.0642593233521589E-2</v>
      </c>
      <c r="M61" s="588">
        <f>'ADU-261'!$B$19/1000</f>
        <v>0</v>
      </c>
      <c r="N61" s="566"/>
      <c r="O61" s="567" t="str">
        <f>'ADU-261'!$E$5</f>
        <v>En cours</v>
      </c>
      <c r="P61" s="522">
        <f>'ADU-261'!$B$15</f>
        <v>2020</v>
      </c>
      <c r="Q61" s="523">
        <f t="shared" si="0"/>
        <v>0</v>
      </c>
      <c r="R61" s="523">
        <f t="shared" ref="R61" si="33">IF(O61="Terminé",M61,0)</f>
        <v>0</v>
      </c>
      <c r="S61" s="523">
        <f t="shared" ref="S61" si="34">IF(D61="Agriculture",R61,0)</f>
        <v>0</v>
      </c>
      <c r="T61" s="523">
        <f t="shared" ref="T61" si="35">IF(D61="Industrie", R61,0)</f>
        <v>0</v>
      </c>
      <c r="U61" s="523">
        <f t="shared" ref="U61" si="36">IF(D61="Logement", R61,0)</f>
        <v>0</v>
      </c>
      <c r="V61" s="523">
        <f t="shared" ref="V61" si="37">IF(D61="Tertiaire",R61,0)</f>
        <v>0</v>
      </c>
      <c r="W61" s="523">
        <f t="shared" ref="W61" si="38">IF(D61="Transport",R61,0)</f>
        <v>0</v>
      </c>
      <c r="X61" s="523">
        <f t="shared" ref="X61" si="39">IF(D61="Communal",R61,0)</f>
        <v>0</v>
      </c>
    </row>
    <row r="62" spans="1:24" s="477" customFormat="1" x14ac:dyDescent="0.25">
      <c r="A62" s="769" t="s">
        <v>276</v>
      </c>
      <c r="B62" s="468" t="str">
        <f>'ADU-27'!$B$7</f>
        <v>Logement</v>
      </c>
      <c r="C62" s="468" t="str">
        <f>'ADU-27'!$B$8</f>
        <v xml:space="preserve"> Chauffage d'appoint et changement de vecteur énergétique </v>
      </c>
      <c r="D62" s="468" t="str">
        <f>'ADU-27'!$C$4</f>
        <v>Logement</v>
      </c>
      <c r="E62" s="468" t="str">
        <f>'ADU-27'!$B$11</f>
        <v>Citoyen</v>
      </c>
      <c r="F62" s="468" t="str">
        <f>'ADU-27'!$B$5</f>
        <v>Fonds propres</v>
      </c>
      <c r="G62" s="469">
        <f>'ADU-27'!$B$16</f>
        <v>300000</v>
      </c>
      <c r="H62" s="468" t="str">
        <f>'ADU-27'!$B$6</f>
        <v>Prime RW</v>
      </c>
      <c r="I62" s="469">
        <f>'ADU-27'!$B$17</f>
        <v>48000</v>
      </c>
      <c r="J62" s="469">
        <f>'ADU-27'!$B$20</f>
        <v>59219.999999999993</v>
      </c>
      <c r="K62" s="469">
        <f>'ADU-27'!$B$21</f>
        <v>0</v>
      </c>
      <c r="L62" s="470">
        <f>'ADU-27'!$B$23</f>
        <v>4.255319148936171</v>
      </c>
      <c r="M62" s="479">
        <f>'ADU-27'!$B$19/1000</f>
        <v>846</v>
      </c>
      <c r="N62" s="472"/>
      <c r="O62" s="473" t="str">
        <f>'ADU-27'!$E$5</f>
        <v>Terminé</v>
      </c>
      <c r="P62" s="474">
        <f>'ADU-27'!$B$15</f>
        <v>2020</v>
      </c>
      <c r="Q62" s="475">
        <f t="shared" si="0"/>
        <v>846</v>
      </c>
      <c r="R62" s="475">
        <f t="shared" si="1"/>
        <v>846</v>
      </c>
      <c r="S62" s="475">
        <f t="shared" si="2"/>
        <v>0</v>
      </c>
      <c r="T62" s="475">
        <f t="shared" si="3"/>
        <v>0</v>
      </c>
      <c r="U62" s="475">
        <f t="shared" si="4"/>
        <v>846</v>
      </c>
      <c r="V62" s="475">
        <f t="shared" si="5"/>
        <v>0</v>
      </c>
      <c r="W62" s="475">
        <f t="shared" si="6"/>
        <v>0</v>
      </c>
      <c r="X62" s="475">
        <f t="shared" si="7"/>
        <v>0</v>
      </c>
    </row>
    <row r="63" spans="1:24" s="516" customFormat="1" x14ac:dyDescent="0.25">
      <c r="A63" s="772" t="s">
        <v>287</v>
      </c>
      <c r="B63" s="508" t="str">
        <f>'ADU-28'!$B$7</f>
        <v>Agriculteurs</v>
      </c>
      <c r="C63" s="508" t="str">
        <f>'ADU-28'!$B$8</f>
        <v xml:space="preserve">Installation "individuelle" de production de biogaz </v>
      </c>
      <c r="D63" s="508" t="str">
        <f>'ADU-28'!$C$4</f>
        <v>Agriculture</v>
      </c>
      <c r="E63" s="508" t="str">
        <f>'ADU-28'!$B$11</f>
        <v>Agriculture</v>
      </c>
      <c r="F63" s="508" t="str">
        <f>'ADU-28'!$B$5</f>
        <v>Prêt bancaire</v>
      </c>
      <c r="G63" s="551">
        <f>'ADU-28'!$B$16</f>
        <v>360000</v>
      </c>
      <c r="H63" s="508" t="str">
        <f>'ADU-28'!$B$6</f>
        <v>Subs RW</v>
      </c>
      <c r="I63" s="551">
        <f>'ADU-28'!$B$17</f>
        <v>108000</v>
      </c>
      <c r="J63" s="551">
        <f>'ADU-28'!$B$20</f>
        <v>38237.483700000004</v>
      </c>
      <c r="K63" s="551">
        <f>'ADU-28'!$B$21</f>
        <v>17795.699999999997</v>
      </c>
      <c r="L63" s="552">
        <f>'ADU-28'!$B$23</f>
        <v>4.4973350318482792</v>
      </c>
      <c r="M63" s="558">
        <f>'ADU-28'!$B$19/1000</f>
        <v>273.77999999999997</v>
      </c>
      <c r="N63" s="554"/>
      <c r="O63" s="555" t="str">
        <f>'ADU-28'!$E$5</f>
        <v>A faire</v>
      </c>
      <c r="P63" s="513">
        <f>'ADU-28'!$B$15</f>
        <v>2020</v>
      </c>
      <c r="Q63" s="514">
        <f t="shared" si="0"/>
        <v>0</v>
      </c>
      <c r="R63" s="514">
        <f t="shared" si="1"/>
        <v>0</v>
      </c>
      <c r="S63" s="514">
        <f t="shared" si="2"/>
        <v>0</v>
      </c>
      <c r="T63" s="514">
        <f t="shared" si="3"/>
        <v>0</v>
      </c>
      <c r="U63" s="514">
        <f t="shared" si="4"/>
        <v>0</v>
      </c>
      <c r="V63" s="514">
        <f t="shared" si="5"/>
        <v>0</v>
      </c>
      <c r="W63" s="514">
        <f t="shared" si="6"/>
        <v>0</v>
      </c>
      <c r="X63" s="514">
        <f t="shared" si="7"/>
        <v>0</v>
      </c>
    </row>
    <row r="64" spans="1:24" s="464" customFormat="1" x14ac:dyDescent="0.25">
      <c r="A64" s="776" t="s">
        <v>239</v>
      </c>
      <c r="B64" s="456" t="str">
        <f>'ADU-29'!$B$7</f>
        <v>Industrie</v>
      </c>
      <c r="C64" s="456" t="str">
        <f>'ADU-29'!$B$8</f>
        <v>Installation d'un parc de 4 éoliennes de 2,97 MW</v>
      </c>
      <c r="D64" s="456" t="str">
        <f>'ADU-29'!$C$4</f>
        <v>Territoire</v>
      </c>
      <c r="E64" s="456" t="str">
        <f>'ADU-29'!$B$11</f>
        <v>AC HABAY</v>
      </c>
      <c r="F64" s="456" t="str">
        <f>'ADU-29'!$B$5</f>
        <v>Montage</v>
      </c>
      <c r="G64" s="457">
        <f>'ADU-29'!$B$16</f>
        <v>17820000</v>
      </c>
      <c r="H64" s="456" t="str">
        <f>'ADU-29'!$B$6</f>
        <v>CV</v>
      </c>
      <c r="I64" s="457">
        <f>'ADU-29'!$B$17</f>
        <v>3564000</v>
      </c>
      <c r="J64" s="457">
        <f>'ADU-29'!$B$20</f>
        <v>1040688</v>
      </c>
      <c r="K64" s="457">
        <f>'ADU-29'!$B$21</f>
        <v>1691118</v>
      </c>
      <c r="L64" s="458">
        <f>'ADU-29'!$B$23</f>
        <v>5.2185257664709717</v>
      </c>
      <c r="M64" s="466">
        <f>'ADU-29'!$B$19/1000</f>
        <v>26017.200000000001</v>
      </c>
      <c r="N64" s="460"/>
      <c r="O64" s="461" t="str">
        <f>'ADU-29'!$E$5</f>
        <v>A investiguer</v>
      </c>
      <c r="P64" s="462">
        <f>'ADU-29'!$B$15</f>
        <v>2020</v>
      </c>
      <c r="Q64" s="463">
        <f t="shared" si="0"/>
        <v>0</v>
      </c>
      <c r="R64" s="463">
        <f t="shared" si="1"/>
        <v>0</v>
      </c>
      <c r="S64" s="463">
        <f t="shared" si="2"/>
        <v>0</v>
      </c>
      <c r="T64" s="463">
        <f t="shared" si="3"/>
        <v>0</v>
      </c>
      <c r="U64" s="463">
        <f t="shared" si="4"/>
        <v>0</v>
      </c>
      <c r="V64" s="463">
        <f t="shared" si="5"/>
        <v>0</v>
      </c>
      <c r="W64" s="463">
        <f t="shared" si="6"/>
        <v>0</v>
      </c>
      <c r="X64" s="463">
        <f t="shared" si="7"/>
        <v>0</v>
      </c>
    </row>
    <row r="65" spans="1:24" s="442" customFormat="1" x14ac:dyDescent="0.25">
      <c r="A65" s="779" t="s">
        <v>134</v>
      </c>
      <c r="B65" s="433" t="str">
        <f>'ADU-30'!$B$7</f>
        <v>Transport</v>
      </c>
      <c r="C65" s="433" t="str">
        <f>'ADU-30'!$B$8</f>
        <v>Formation à l'éco-conduite</v>
      </c>
      <c r="D65" s="433" t="str">
        <f>'ADU-30'!$C$4</f>
        <v>Transport</v>
      </c>
      <c r="E65" s="433" t="str">
        <f>'ADU-30'!$B$11</f>
        <v>Citoyen</v>
      </c>
      <c r="F65" s="433" t="str">
        <f>'ADU-30'!$B$5</f>
        <v>Fonds propres</v>
      </c>
      <c r="G65" s="434">
        <f>'ADU-30'!$B$16</f>
        <v>20000</v>
      </c>
      <c r="H65" s="433" t="str">
        <f>'ADU-30'!$B$6</f>
        <v>Pas de subside</v>
      </c>
      <c r="I65" s="434">
        <f>'ADU-30'!$B$17</f>
        <v>0</v>
      </c>
      <c r="J65" s="434">
        <f>'ADU-30'!$B$20</f>
        <v>14870.400000000001</v>
      </c>
      <c r="K65" s="434">
        <f>'ADU-30'!$B$21</f>
        <v>0</v>
      </c>
      <c r="L65" s="435">
        <f>'ADU-30'!$B$23</f>
        <v>1.3449537335915642</v>
      </c>
      <c r="M65" s="453">
        <f>'ADU-30'!$B$19/1000</f>
        <v>0</v>
      </c>
      <c r="N65" s="437"/>
      <c r="O65" s="438" t="str">
        <f>'ADU-30'!$E$5</f>
        <v>A faire</v>
      </c>
      <c r="P65" s="439">
        <f>'ADU-30'!$B$15</f>
        <v>2020</v>
      </c>
      <c r="Q65" s="674">
        <f t="shared" si="0"/>
        <v>0</v>
      </c>
      <c r="R65" s="440">
        <f t="shared" si="1"/>
        <v>0</v>
      </c>
      <c r="S65" s="440">
        <f t="shared" si="2"/>
        <v>0</v>
      </c>
      <c r="T65" s="440">
        <f t="shared" si="3"/>
        <v>0</v>
      </c>
      <c r="U65" s="440">
        <f t="shared" si="4"/>
        <v>0</v>
      </c>
      <c r="V65" s="440">
        <f t="shared" si="5"/>
        <v>0</v>
      </c>
      <c r="W65" s="440">
        <f t="shared" si="6"/>
        <v>0</v>
      </c>
      <c r="X65" s="440">
        <f t="shared" si="7"/>
        <v>0</v>
      </c>
    </row>
    <row r="66" spans="1:24" s="442" customFormat="1" x14ac:dyDescent="0.25">
      <c r="A66" s="779" t="s">
        <v>143</v>
      </c>
      <c r="B66" s="433" t="str">
        <f>'ADU-31'!$B$7</f>
        <v>Transport</v>
      </c>
      <c r="C66" s="433" t="str">
        <f>'ADU-31'!$B$8</f>
        <v>Covoiturage</v>
      </c>
      <c r="D66" s="433" t="str">
        <f>'ADU-31'!$C$4</f>
        <v>Transport</v>
      </c>
      <c r="E66" s="433" t="str">
        <f>'ADU-31'!$B$11</f>
        <v>Citoyen</v>
      </c>
      <c r="F66" s="433" t="str">
        <f>'ADU-31'!$B$5</f>
        <v>Pas de financement</v>
      </c>
      <c r="G66" s="434">
        <f>'ADU-31'!$B$16</f>
        <v>0</v>
      </c>
      <c r="H66" s="433" t="str">
        <f>'ADU-31'!$B$6</f>
        <v>Pas de subside</v>
      </c>
      <c r="I66" s="434">
        <f>'ADU-31'!$B$17</f>
        <v>0</v>
      </c>
      <c r="J66" s="434">
        <f>'ADU-31'!$B$20</f>
        <v>371520</v>
      </c>
      <c r="K66" s="434">
        <f>'ADU-31'!$B$21</f>
        <v>0</v>
      </c>
      <c r="L66" s="435">
        <f>'ADU-31'!$B$23</f>
        <v>0</v>
      </c>
      <c r="M66" s="453">
        <f>'ADU-31'!$B$19/1000</f>
        <v>0</v>
      </c>
      <c r="N66" s="437"/>
      <c r="O66" s="438" t="str">
        <f>'ADU-31'!$E$5</f>
        <v>En cours</v>
      </c>
      <c r="P66" s="439">
        <f>'ADU-31'!$B$15</f>
        <v>2020</v>
      </c>
      <c r="Q66" s="674">
        <f t="shared" si="0"/>
        <v>0</v>
      </c>
      <c r="R66" s="440">
        <f t="shared" si="1"/>
        <v>0</v>
      </c>
      <c r="S66" s="440">
        <f t="shared" si="2"/>
        <v>0</v>
      </c>
      <c r="T66" s="440">
        <f t="shared" si="3"/>
        <v>0</v>
      </c>
      <c r="U66" s="440">
        <f t="shared" si="4"/>
        <v>0</v>
      </c>
      <c r="V66" s="440">
        <f t="shared" si="5"/>
        <v>0</v>
      </c>
      <c r="W66" s="440">
        <f t="shared" si="6"/>
        <v>0</v>
      </c>
      <c r="X66" s="440">
        <f t="shared" si="7"/>
        <v>0</v>
      </c>
    </row>
    <row r="67" spans="1:24" s="442" customFormat="1" x14ac:dyDescent="0.25">
      <c r="A67" s="780" t="s">
        <v>716</v>
      </c>
      <c r="B67" s="433" t="str">
        <f>'ADU-311'!$B$7</f>
        <v>Transport</v>
      </c>
      <c r="C67" s="433" t="str">
        <f>'ADU-311'!$B$8</f>
        <v>Parkings pour Covoiturage</v>
      </c>
      <c r="D67" s="433" t="str">
        <f>'ADU-311'!$C$4</f>
        <v>Transport</v>
      </c>
      <c r="E67" s="433" t="str">
        <f>'ADU-311'!$B$11</f>
        <v>AC HABAY</v>
      </c>
      <c r="F67" s="433" t="str">
        <f>'ADU-311'!$B$5</f>
        <v>Fonds propres</v>
      </c>
      <c r="G67" s="434">
        <f>'ADU-311'!$B$16</f>
        <v>50000</v>
      </c>
      <c r="H67" s="433" t="str">
        <f>'ADU-311'!$B$6</f>
        <v>Pas de subside</v>
      </c>
      <c r="I67" s="434">
        <f>'ADU-311'!$B$17</f>
        <v>0</v>
      </c>
      <c r="J67" s="434">
        <f>'ADU-311'!$B$20</f>
        <v>1</v>
      </c>
      <c r="K67" s="434">
        <f>'ADU-311'!$B$21</f>
        <v>0</v>
      </c>
      <c r="L67" s="435">
        <f>'ADU-311'!$B$23</f>
        <v>50000</v>
      </c>
      <c r="M67" s="453">
        <f>'ADU-311'!$B$19/1000</f>
        <v>0</v>
      </c>
      <c r="N67" s="437"/>
      <c r="O67" s="438" t="str">
        <f>'ADU-311'!$E$5</f>
        <v>A faire</v>
      </c>
      <c r="P67" s="439">
        <f>'ADU-311'!$B$15</f>
        <v>2020</v>
      </c>
      <c r="Q67" s="674">
        <f t="shared" si="0"/>
        <v>0</v>
      </c>
      <c r="R67" s="440">
        <f>IF(O67="Terminé",M67,0)</f>
        <v>0</v>
      </c>
      <c r="S67" s="440">
        <f>IF(D67="Agriculture",R67,0)</f>
        <v>0</v>
      </c>
      <c r="T67" s="440">
        <f>IF(D67="Industrie", R67,0)</f>
        <v>0</v>
      </c>
      <c r="U67" s="440">
        <f>IF(D67="Logement", R67,0)</f>
        <v>0</v>
      </c>
      <c r="V67" s="440">
        <f>IF(D67="Tertiaire",R67,0)</f>
        <v>0</v>
      </c>
      <c r="W67" s="440">
        <f>IF(D67="Transport",R67,0)</f>
        <v>0</v>
      </c>
      <c r="X67" s="440">
        <f>IF(D67="Communal",R67,0)</f>
        <v>0</v>
      </c>
    </row>
    <row r="68" spans="1:24" s="442" customFormat="1" ht="23.25" customHeight="1" x14ac:dyDescent="0.25">
      <c r="A68" s="779" t="s">
        <v>144</v>
      </c>
      <c r="B68" s="433" t="str">
        <f>'ADU-32'!$B$7</f>
        <v>Véhicules de service</v>
      </c>
      <c r="C68" s="433" t="str">
        <f>'ADU-32'!$B$8</f>
        <v>Remplacement de 6 véhicules de service par des voitures électriques</v>
      </c>
      <c r="D68" s="433" t="str">
        <f>'ADU-32'!$C$4</f>
        <v>Transport</v>
      </c>
      <c r="E68" s="433" t="str">
        <f>'ADU-32'!$B$11</f>
        <v>AC HABAY</v>
      </c>
      <c r="F68" s="433" t="str">
        <f>'ADU-32'!$B$5</f>
        <v>Fonds propres</v>
      </c>
      <c r="G68" s="434">
        <f>'ADU-32'!$B$16</f>
        <v>180000</v>
      </c>
      <c r="H68" s="433" t="str">
        <f>'ADU-32'!$B$6</f>
        <v>Pas de subside</v>
      </c>
      <c r="I68" s="434">
        <f>'ADU-32'!$B$17</f>
        <v>0</v>
      </c>
      <c r="J68" s="434">
        <f>'ADU-32'!$B$20</f>
        <v>6485.3717617659313</v>
      </c>
      <c r="K68" s="434">
        <f>'ADU-32'!$B$21</f>
        <v>0</v>
      </c>
      <c r="L68" s="435">
        <f>'ADU-32'!$B$23</f>
        <v>9.2515899171310316</v>
      </c>
      <c r="M68" s="453">
        <f>'ADU-32'!$B$19/1000</f>
        <v>0</v>
      </c>
      <c r="N68" s="437"/>
      <c r="O68" s="438" t="str">
        <f>'ADU-32'!$E$5</f>
        <v>En cours</v>
      </c>
      <c r="P68" s="439">
        <f>'ADU-32'!$B$15</f>
        <v>2020</v>
      </c>
      <c r="Q68" s="674">
        <f t="shared" si="0"/>
        <v>0</v>
      </c>
      <c r="R68" s="440">
        <f t="shared" ref="R68:R88" si="40">IF(O68="Terminé",M68,0)</f>
        <v>0</v>
      </c>
      <c r="S68" s="440">
        <f t="shared" ref="S68:S88" si="41">IF(D68="Agriculture",R68,0)</f>
        <v>0</v>
      </c>
      <c r="T68" s="440">
        <f t="shared" ref="T68:T88" si="42">IF(D68="Industrie", R68,0)</f>
        <v>0</v>
      </c>
      <c r="U68" s="440">
        <f t="shared" ref="U68:U88" si="43">IF(D68="Logement", R68,0)</f>
        <v>0</v>
      </c>
      <c r="V68" s="440">
        <f t="shared" ref="V68:V88" si="44">IF(D68="Tertiaire",R68,0)</f>
        <v>0</v>
      </c>
      <c r="W68" s="440">
        <f t="shared" ref="W68:W88" si="45">IF(D68="Transport",R68,0)</f>
        <v>0</v>
      </c>
      <c r="X68" s="440">
        <f t="shared" ref="X68:X88" si="46">IF(D68="Communal",R68,0)</f>
        <v>0</v>
      </c>
    </row>
    <row r="69" spans="1:24" s="442" customFormat="1" ht="24" customHeight="1" x14ac:dyDescent="0.25">
      <c r="A69" s="779" t="s">
        <v>146</v>
      </c>
      <c r="B69" s="433" t="str">
        <f>'ADU-33'!$B$7</f>
        <v>Voitures électriques</v>
      </c>
      <c r="C69" s="433" t="str">
        <f>'ADU-33'!$B$8</f>
        <v>Remplacement de 60 véhicules privés par des voitures électriques</v>
      </c>
      <c r="D69" s="433" t="str">
        <f>'ADU-33'!$C$4</f>
        <v>Transport</v>
      </c>
      <c r="E69" s="433" t="str">
        <f>'ADU-33'!$B$11</f>
        <v>Citoyen</v>
      </c>
      <c r="F69" s="433" t="str">
        <f>'ADU-33'!$B$5</f>
        <v>Prêt bancaire</v>
      </c>
      <c r="G69" s="434">
        <f>'ADU-33'!$B$16</f>
        <v>1500000</v>
      </c>
      <c r="H69" s="433" t="str">
        <f>'ADU-33'!$B$6</f>
        <v>Pas de subside</v>
      </c>
      <c r="I69" s="434">
        <f>'ADU-33'!$B$17</f>
        <v>0</v>
      </c>
      <c r="J69" s="434">
        <f>'ADU-33'!$B$20</f>
        <v>64853.717617659306</v>
      </c>
      <c r="K69" s="434">
        <f>'ADU-33'!$B$21</f>
        <v>0</v>
      </c>
      <c r="L69" s="435">
        <f>'ADU-33'!$B$23</f>
        <v>4.6257949585655158</v>
      </c>
      <c r="M69" s="453">
        <f>'ADU-33'!$B$19/1000</f>
        <v>0</v>
      </c>
      <c r="N69" s="437"/>
      <c r="O69" s="438" t="str">
        <f>'ADU-33'!$E$5</f>
        <v>En cours</v>
      </c>
      <c r="P69" s="439">
        <f>'ADU-33'!$B$15</f>
        <v>2020</v>
      </c>
      <c r="Q69" s="674">
        <f t="shared" si="0"/>
        <v>0</v>
      </c>
      <c r="R69" s="440">
        <f t="shared" si="40"/>
        <v>0</v>
      </c>
      <c r="S69" s="440">
        <f t="shared" si="41"/>
        <v>0</v>
      </c>
      <c r="T69" s="440">
        <f t="shared" si="42"/>
        <v>0</v>
      </c>
      <c r="U69" s="440">
        <f t="shared" si="43"/>
        <v>0</v>
      </c>
      <c r="V69" s="440">
        <f t="shared" si="44"/>
        <v>0</v>
      </c>
      <c r="W69" s="440">
        <f t="shared" si="45"/>
        <v>0</v>
      </c>
      <c r="X69" s="440">
        <f t="shared" si="46"/>
        <v>0</v>
      </c>
    </row>
    <row r="70" spans="1:24" s="442" customFormat="1" ht="24" customHeight="1" x14ac:dyDescent="0.25">
      <c r="A70" s="677" t="s">
        <v>862</v>
      </c>
      <c r="B70" s="433" t="str">
        <f>'ADU-331'!$B$7</f>
        <v>Ménages - Mobilité</v>
      </c>
      <c r="C70" s="433" t="str">
        <f>'ADU-331'!$B$8</f>
        <v>Véhicules  hybrides</v>
      </c>
      <c r="D70" s="433" t="str">
        <f>'ADU-331'!$C$4</f>
        <v>Transport</v>
      </c>
      <c r="E70" s="433" t="str">
        <f>'ADU-331'!$B$11</f>
        <v>Citoyen</v>
      </c>
      <c r="F70" s="433" t="str">
        <f>'ADU-331'!$B$5</f>
        <v>Prêt bancaire</v>
      </c>
      <c r="G70" s="434">
        <f>'ADU-331'!$B$16</f>
        <v>568630.16870924423</v>
      </c>
      <c r="H70" s="433" t="str">
        <f>'ADU-331'!$B$6</f>
        <v>Pas de subside</v>
      </c>
      <c r="I70" s="434">
        <f>'ADU-331'!$B$17</f>
        <v>0</v>
      </c>
      <c r="J70" s="434">
        <f>'ADU-331'!$B$20</f>
        <v>27506.098294685278</v>
      </c>
      <c r="K70" s="434">
        <f>'ADU-331'!$B$21</f>
        <v>0</v>
      </c>
      <c r="L70" s="435">
        <f>'ADU-331'!$B$23</f>
        <v>2.2969862602719839</v>
      </c>
      <c r="M70" s="453">
        <f>'ADU-331'!$B$24</f>
        <v>19.157576856440965</v>
      </c>
      <c r="N70" s="437"/>
      <c r="O70" s="438" t="str">
        <f>'ADU-331'!$E$5</f>
        <v>Terminé</v>
      </c>
      <c r="P70" s="439">
        <f>'ADU-331'!$B$15</f>
        <v>2016</v>
      </c>
      <c r="Q70" s="674">
        <f t="shared" ref="Q70:Q71" si="47">IF(O70="Terminé",M70,0)</f>
        <v>19.157576856440965</v>
      </c>
      <c r="R70" s="440">
        <f t="shared" ref="R70:R71" si="48">IF(O70="Terminé",M70,0)</f>
        <v>19.157576856440965</v>
      </c>
      <c r="S70" s="440">
        <f t="shared" ref="S70:S71" si="49">IF(D70="Agriculture",R70,0)</f>
        <v>0</v>
      </c>
      <c r="T70" s="440">
        <f t="shared" ref="T70:T71" si="50">IF(D70="Industrie", R70,0)</f>
        <v>0</v>
      </c>
      <c r="U70" s="440">
        <f t="shared" ref="U70:U71" si="51">IF(D70="Logement", R70,0)</f>
        <v>0</v>
      </c>
      <c r="V70" s="440">
        <f t="shared" ref="V70:V71" si="52">IF(D70="Tertiaire",R70,0)</f>
        <v>0</v>
      </c>
      <c r="W70" s="440">
        <f t="shared" ref="W70:W71" si="53">IF(D70="Transport",R70,0)</f>
        <v>19.157576856440965</v>
      </c>
      <c r="X70" s="440">
        <f t="shared" ref="X70:X71" si="54">IF(D70="Communal",R70,0)</f>
        <v>0</v>
      </c>
    </row>
    <row r="71" spans="1:24" s="442" customFormat="1" ht="24" customHeight="1" x14ac:dyDescent="0.25">
      <c r="A71" s="677" t="s">
        <v>863</v>
      </c>
      <c r="B71" s="433" t="str">
        <f>'ADU-333'!$B$7</f>
        <v>Ménages - Mobilité</v>
      </c>
      <c r="C71" s="433" t="str">
        <f>'ADU-333'!$B$8</f>
        <v>Véhicules CNG</v>
      </c>
      <c r="D71" s="433" t="str">
        <f>'ADU-333'!$C$4</f>
        <v>Transport</v>
      </c>
      <c r="E71" s="433" t="str">
        <f>'ADU-333'!$B$11</f>
        <v>Citoyen</v>
      </c>
      <c r="F71" s="433" t="str">
        <f>'ADU-333'!$B$5</f>
        <v>Prêt bancaire</v>
      </c>
      <c r="G71" s="434">
        <f>'ADU-333'!$B$16</f>
        <v>1100000</v>
      </c>
      <c r="H71" s="433" t="str">
        <f>'ADU-333'!$B$6</f>
        <v>Pas de subside</v>
      </c>
      <c r="I71" s="434">
        <f>'ADU-333'!$B$17</f>
        <v>0</v>
      </c>
      <c r="J71" s="434">
        <f>'ADU-333'!$B$20</f>
        <v>48793.5</v>
      </c>
      <c r="K71" s="434">
        <f>'ADU-333'!$B$21</f>
        <v>0</v>
      </c>
      <c r="L71" s="435">
        <f>'ADU-333'!$B$23</f>
        <v>2.0494533083300031</v>
      </c>
      <c r="M71" s="453">
        <f>'ADU-333'!$B$24</f>
        <v>26.999070000000003</v>
      </c>
      <c r="N71" s="437"/>
      <c r="O71" s="438" t="str">
        <f>'ADU-333'!$E$5</f>
        <v>A faire</v>
      </c>
      <c r="P71" s="439">
        <f>'ADU-333'!$B$15</f>
        <v>2020</v>
      </c>
      <c r="Q71" s="674">
        <f t="shared" si="47"/>
        <v>0</v>
      </c>
      <c r="R71" s="440">
        <f t="shared" si="48"/>
        <v>0</v>
      </c>
      <c r="S71" s="440">
        <f t="shared" si="49"/>
        <v>0</v>
      </c>
      <c r="T71" s="440">
        <f t="shared" si="50"/>
        <v>0</v>
      </c>
      <c r="U71" s="440">
        <f t="shared" si="51"/>
        <v>0</v>
      </c>
      <c r="V71" s="440">
        <f t="shared" si="52"/>
        <v>0</v>
      </c>
      <c r="W71" s="440">
        <f t="shared" si="53"/>
        <v>0</v>
      </c>
      <c r="X71" s="440">
        <f t="shared" si="54"/>
        <v>0</v>
      </c>
    </row>
    <row r="72" spans="1:24" s="442" customFormat="1" ht="24" customHeight="1" x14ac:dyDescent="0.25">
      <c r="A72" s="647" t="s">
        <v>998</v>
      </c>
      <c r="B72" s="433" t="str">
        <f>'ADU-333'!$B$7</f>
        <v>Ménages - Mobilité</v>
      </c>
      <c r="C72" s="433" t="str">
        <f>'ADU-333'!$B$8</f>
        <v>Véhicules CNG</v>
      </c>
      <c r="D72" s="433" t="str">
        <f>'ADU-333'!$C$4</f>
        <v>Transport</v>
      </c>
      <c r="E72" s="433" t="str">
        <f>'ADU-333'!$B$11</f>
        <v>Citoyen</v>
      </c>
      <c r="F72" s="433" t="str">
        <f>'ADU-333'!$B$5</f>
        <v>Prêt bancaire</v>
      </c>
      <c r="G72" s="434">
        <f>'ADU-333'!$B$16</f>
        <v>1100000</v>
      </c>
      <c r="H72" s="433" t="str">
        <f>'ADU-333'!$B$6</f>
        <v>Pas de subside</v>
      </c>
      <c r="I72" s="434">
        <f>'ADU-333'!$B$17</f>
        <v>0</v>
      </c>
      <c r="J72" s="434">
        <f>'ADU-333'!$B$20</f>
        <v>48793.5</v>
      </c>
      <c r="K72" s="434">
        <f>'ADU-333'!$B$21</f>
        <v>0</v>
      </c>
      <c r="L72" s="435">
        <f>'ADU-333'!$B$23</f>
        <v>2.0494533083300031</v>
      </c>
      <c r="M72" s="453">
        <f>'ADU-333'!$B$24</f>
        <v>26.999070000000003</v>
      </c>
      <c r="N72" s="437"/>
      <c r="O72" s="438" t="str">
        <f>'ADU-333'!$E$5</f>
        <v>A faire</v>
      </c>
      <c r="P72" s="439">
        <f>'ADU-333'!$B$15</f>
        <v>2020</v>
      </c>
      <c r="Q72" s="674">
        <f t="shared" ref="Q72" si="55">IF(O72="Terminé",M72,0)</f>
        <v>0</v>
      </c>
      <c r="R72" s="440">
        <f t="shared" ref="R72" si="56">IF(O72="Terminé",M72,0)</f>
        <v>0</v>
      </c>
      <c r="S72" s="440">
        <f t="shared" ref="S72" si="57">IF(D72="Agriculture",R72,0)</f>
        <v>0</v>
      </c>
      <c r="T72" s="440">
        <f t="shared" ref="T72" si="58">IF(D72="Industrie", R72,0)</f>
        <v>0</v>
      </c>
      <c r="U72" s="440">
        <f t="shared" ref="U72" si="59">IF(D72="Logement", R72,0)</f>
        <v>0</v>
      </c>
      <c r="V72" s="440">
        <f t="shared" ref="V72" si="60">IF(D72="Tertiaire",R72,0)</f>
        <v>0</v>
      </c>
      <c r="W72" s="440">
        <f t="shared" ref="W72" si="61">IF(D72="Transport",R72,0)</f>
        <v>0</v>
      </c>
      <c r="X72" s="440">
        <f t="shared" ref="X72" si="62">IF(D72="Communal",R72,0)</f>
        <v>0</v>
      </c>
    </row>
    <row r="73" spans="1:24" s="442" customFormat="1" ht="15" customHeight="1" x14ac:dyDescent="0.25">
      <c r="A73" s="779" t="s">
        <v>149</v>
      </c>
      <c r="B73" s="433" t="str">
        <f>'ADU-34'!$B$7</f>
        <v>Transport</v>
      </c>
      <c r="C73" s="433" t="str">
        <f>'ADU-34'!$B$8</f>
        <v>Borne de recharge</v>
      </c>
      <c r="D73" s="433" t="str">
        <f>'ADU-34'!$C$4</f>
        <v>Transport</v>
      </c>
      <c r="E73" s="433" t="str">
        <f>'ADU-34'!$B$11</f>
        <v>AC HABAY</v>
      </c>
      <c r="F73" s="433" t="str">
        <f>'ADU-34'!$B$5</f>
        <v>1/3 invest</v>
      </c>
      <c r="G73" s="434">
        <f>'ADU-34'!$B$16</f>
        <v>20000</v>
      </c>
      <c r="H73" s="433" t="str">
        <f>'ADU-34'!$B$6</f>
        <v>Pas de subside</v>
      </c>
      <c r="I73" s="434">
        <f>'ADU-34'!$B$17</f>
        <v>0</v>
      </c>
      <c r="J73" s="434">
        <f>'ADU-34'!$B$20</f>
        <v>1</v>
      </c>
      <c r="K73" s="434">
        <f>'ADU-34'!$B$21</f>
        <v>0</v>
      </c>
      <c r="L73" s="435">
        <f>'ADU-34'!$B$23</f>
        <v>20000</v>
      </c>
      <c r="M73" s="453">
        <f>'ADU-34'!$B$19/1000</f>
        <v>0</v>
      </c>
      <c r="N73" s="437"/>
      <c r="O73" s="438" t="str">
        <f>'ADU-34'!$E$5</f>
        <v>Terminé</v>
      </c>
      <c r="P73" s="439">
        <f>'ADU-34'!$B$15</f>
        <v>2020</v>
      </c>
      <c r="Q73" s="674">
        <f t="shared" si="0"/>
        <v>0</v>
      </c>
      <c r="R73" s="440">
        <f t="shared" si="40"/>
        <v>0</v>
      </c>
      <c r="S73" s="440">
        <f t="shared" si="41"/>
        <v>0</v>
      </c>
      <c r="T73" s="440">
        <f t="shared" si="42"/>
        <v>0</v>
      </c>
      <c r="U73" s="440">
        <f t="shared" si="43"/>
        <v>0</v>
      </c>
      <c r="V73" s="440">
        <f t="shared" si="44"/>
        <v>0</v>
      </c>
      <c r="W73" s="440">
        <f t="shared" si="45"/>
        <v>0</v>
      </c>
      <c r="X73" s="440">
        <f t="shared" si="46"/>
        <v>0</v>
      </c>
    </row>
    <row r="74" spans="1:24" s="442" customFormat="1" ht="15" customHeight="1" x14ac:dyDescent="0.25">
      <c r="A74" s="780" t="s">
        <v>717</v>
      </c>
      <c r="B74" s="433" t="str">
        <f>'ADU-341'!$B$7</f>
        <v>Transport</v>
      </c>
      <c r="C74" s="433" t="str">
        <f>'ADU-341'!$B$8</f>
        <v>PEDIBUS</v>
      </c>
      <c r="D74" s="433" t="str">
        <f>'ADU-341'!$C$4</f>
        <v>Transport</v>
      </c>
      <c r="E74" s="433" t="str">
        <f>'ADU-341'!$B$11</f>
        <v>Citoyen</v>
      </c>
      <c r="F74" s="433" t="str">
        <f>'ADU-341'!$B$5</f>
        <v>Pas de financement</v>
      </c>
      <c r="G74" s="434">
        <f>'ADU-341'!$B$16</f>
        <v>0</v>
      </c>
      <c r="H74" s="433" t="str">
        <f>'ADU-341'!$B$6</f>
        <v>Pas de subside</v>
      </c>
      <c r="I74" s="434">
        <f>'ADU-341'!$B$17</f>
        <v>0</v>
      </c>
      <c r="J74" s="434">
        <f>'ADU-341'!$B$20</f>
        <v>1</v>
      </c>
      <c r="K74" s="434">
        <f>'ADU-341'!$B$21</f>
        <v>0</v>
      </c>
      <c r="L74" s="435">
        <f>'ADU-341'!$B$23</f>
        <v>0</v>
      </c>
      <c r="M74" s="453">
        <f>'ADU-341'!$B$19/1000</f>
        <v>0</v>
      </c>
      <c r="N74" s="437"/>
      <c r="O74" s="438" t="str">
        <f>'ADU-341'!$E$5</f>
        <v>Terminé</v>
      </c>
      <c r="P74" s="439">
        <f>'ADU-341'!$B$15</f>
        <v>2020</v>
      </c>
      <c r="Q74" s="674">
        <f t="shared" si="0"/>
        <v>0</v>
      </c>
      <c r="R74" s="440">
        <f>IF(O74="Terminé",M74,0)</f>
        <v>0</v>
      </c>
      <c r="S74" s="440">
        <f>IF(D74="Agriculture",R74,0)</f>
        <v>0</v>
      </c>
      <c r="T74" s="440">
        <f>IF(D74="Industrie", R74,0)</f>
        <v>0</v>
      </c>
      <c r="U74" s="440">
        <f>IF(D74="Logement", R74,0)</f>
        <v>0</v>
      </c>
      <c r="V74" s="440">
        <f>IF(D74="Tertiaire",R74,0)</f>
        <v>0</v>
      </c>
      <c r="W74" s="440">
        <f>IF(D74="Transport",R74,0)</f>
        <v>0</v>
      </c>
      <c r="X74" s="440">
        <f>IF(D74="Communal",R74,0)</f>
        <v>0</v>
      </c>
    </row>
    <row r="75" spans="1:24" s="442" customFormat="1" ht="20.25" customHeight="1" x14ac:dyDescent="0.25">
      <c r="A75" s="781" t="s">
        <v>148</v>
      </c>
      <c r="B75" s="446" t="str">
        <f>'ADU-35'!$B$7</f>
        <v>Transport</v>
      </c>
      <c r="C75" s="446" t="str">
        <f>'ADU-35'!$B$8</f>
        <v>Ramassage scolaire</v>
      </c>
      <c r="D75" s="446" t="str">
        <f>'ADU-35'!$C$4</f>
        <v>Transport</v>
      </c>
      <c r="E75" s="446" t="str">
        <f>'ADU-35'!$B$11</f>
        <v>AC HABAY</v>
      </c>
      <c r="F75" s="433" t="str">
        <f>'ADU-35'!$B$5</f>
        <v>Fonds propres</v>
      </c>
      <c r="G75" s="447">
        <f>'ADU-35'!$B$16</f>
        <v>375000</v>
      </c>
      <c r="H75" s="433" t="str">
        <f>'ADU-35'!$B$6</f>
        <v>Pas de subside</v>
      </c>
      <c r="I75" s="447">
        <f>'ADU-35'!$B$17</f>
        <v>0</v>
      </c>
      <c r="J75" s="447">
        <f>'ADU-35'!$B$20</f>
        <v>14400</v>
      </c>
      <c r="K75" s="447">
        <f>'ADU-35'!$B$21</f>
        <v>0</v>
      </c>
      <c r="L75" s="448">
        <f>'ADU-35'!$B$23</f>
        <v>26.041666666666668</v>
      </c>
      <c r="M75" s="454">
        <f>'ADU-35'!$B$19/1000</f>
        <v>0</v>
      </c>
      <c r="N75" s="450"/>
      <c r="O75" s="451" t="str">
        <f>'ADU-35'!$E$5</f>
        <v>A faire</v>
      </c>
      <c r="P75" s="439">
        <f>'ADU-35'!$B$15</f>
        <v>2020</v>
      </c>
      <c r="Q75" s="674">
        <f t="shared" si="0"/>
        <v>0</v>
      </c>
      <c r="R75" s="452">
        <f t="shared" si="40"/>
        <v>0</v>
      </c>
      <c r="S75" s="452">
        <f t="shared" si="41"/>
        <v>0</v>
      </c>
      <c r="T75" s="452">
        <f t="shared" si="42"/>
        <v>0</v>
      </c>
      <c r="U75" s="452">
        <f t="shared" si="43"/>
        <v>0</v>
      </c>
      <c r="V75" s="452">
        <f t="shared" si="44"/>
        <v>0</v>
      </c>
      <c r="W75" s="452">
        <f t="shared" si="45"/>
        <v>0</v>
      </c>
      <c r="X75" s="452">
        <f t="shared" si="46"/>
        <v>0</v>
      </c>
    </row>
    <row r="76" spans="1:24" s="442" customFormat="1" ht="20.25" customHeight="1" x14ac:dyDescent="0.25">
      <c r="A76" s="677" t="s">
        <v>909</v>
      </c>
      <c r="B76" s="446" t="str">
        <f>'ADU-351'!$B$7</f>
        <v>Transport</v>
      </c>
      <c r="C76" s="446" t="str">
        <f>'ADU-351'!$B$8</f>
        <v>Vélos à assistance électrique</v>
      </c>
      <c r="D76" s="446" t="str">
        <f>'ADU-351'!$C$4</f>
        <v>Transport</v>
      </c>
      <c r="E76" s="446" t="str">
        <f>'ADU-351'!$B$11</f>
        <v>Citoyen</v>
      </c>
      <c r="F76" s="433" t="str">
        <f>'ADU-351'!$B$5</f>
        <v>Fonds propres</v>
      </c>
      <c r="G76" s="447">
        <f>'ADU-351'!$B$16</f>
        <v>160000</v>
      </c>
      <c r="H76" s="433" t="str">
        <f>'ADU-351'!$B$6</f>
        <v>Pas de subside</v>
      </c>
      <c r="I76" s="447">
        <f>'ADU-351'!$B$17</f>
        <v>0</v>
      </c>
      <c r="J76" s="447">
        <f>'ADU-351'!$B$20</f>
        <v>14400</v>
      </c>
      <c r="K76" s="447">
        <f>'ADU-351'!$B$21</f>
        <v>0</v>
      </c>
      <c r="L76" s="448">
        <f>'ADU-351'!$B$23</f>
        <v>11.111111111111111</v>
      </c>
      <c r="M76" s="454">
        <f>'ADU-351'!$B$24</f>
        <v>23.49</v>
      </c>
      <c r="N76" s="450"/>
      <c r="O76" s="451" t="str">
        <f>'ADU-351'!$E$5</f>
        <v>En cours</v>
      </c>
      <c r="P76" s="439">
        <f>'ADU-351'!$B$15</f>
        <v>2020</v>
      </c>
      <c r="Q76" s="674">
        <f t="shared" ref="Q76" si="63">IF(O76="Terminé",M76,0)</f>
        <v>0</v>
      </c>
      <c r="R76" s="452">
        <f t="shared" ref="R76" si="64">IF(O76="Terminé",M76,0)</f>
        <v>0</v>
      </c>
      <c r="S76" s="452">
        <f t="shared" ref="S76" si="65">IF(D76="Agriculture",R76,0)</f>
        <v>0</v>
      </c>
      <c r="T76" s="452">
        <f t="shared" ref="T76" si="66">IF(D76="Industrie", R76,0)</f>
        <v>0</v>
      </c>
      <c r="U76" s="452">
        <f t="shared" ref="U76" si="67">IF(D76="Logement", R76,0)</f>
        <v>0</v>
      </c>
      <c r="V76" s="452">
        <f t="shared" ref="V76" si="68">IF(D76="Tertiaire",R76,0)</f>
        <v>0</v>
      </c>
      <c r="W76" s="452">
        <f t="shared" ref="W76" si="69">IF(D76="Transport",R76,0)</f>
        <v>0</v>
      </c>
      <c r="X76" s="452">
        <f t="shared" ref="X76" si="70">IF(D76="Communal",R76,0)</f>
        <v>0</v>
      </c>
    </row>
    <row r="77" spans="1:24" s="477" customFormat="1" x14ac:dyDescent="0.25">
      <c r="A77" s="676" t="s">
        <v>704</v>
      </c>
      <c r="B77" s="478" t="str">
        <f>'ADU-361'!$B$7</f>
        <v>Logement</v>
      </c>
      <c r="C77" s="478" t="str">
        <f>'ADU-361'!$B$8</f>
        <v>Pompes à chaleur GEO</v>
      </c>
      <c r="D77" s="478" t="str">
        <f>'ADU-361'!$C$4</f>
        <v>Logement</v>
      </c>
      <c r="E77" s="478" t="str">
        <f>'ADU-361'!$B$11</f>
        <v>Citoyen</v>
      </c>
      <c r="F77" s="468" t="str">
        <f>'ADU-361'!$B$5</f>
        <v>ECOPACK</v>
      </c>
      <c r="G77" s="534">
        <f>'ADU-361'!$B$16</f>
        <v>200000</v>
      </c>
      <c r="H77" s="468" t="str">
        <f>'ADU-361'!$B$6</f>
        <v>Pas de subside</v>
      </c>
      <c r="I77" s="534">
        <f>'ADU-361'!$B$17</f>
        <v>0</v>
      </c>
      <c r="J77" s="534">
        <f>'ADU-361'!$B$20</f>
        <v>1580.6398687448727</v>
      </c>
      <c r="K77" s="534">
        <f>'ADU-361'!$B$21</f>
        <v>0</v>
      </c>
      <c r="L77" s="478">
        <f>'ADU-361'!$B$23</f>
        <v>103.75544944986507</v>
      </c>
      <c r="M77" s="540">
        <f>'ADU-361'!$B$19/1000</f>
        <v>35.931091058244462</v>
      </c>
      <c r="N77" s="478">
        <f t="shared" ref="N77:N88" si="71">IF(G77=0,0,M77/(G77-I77)*1000)</f>
        <v>0.17965545529122232</v>
      </c>
      <c r="O77" s="538" t="str">
        <f>'ADU-361'!$E$5</f>
        <v>En cours</v>
      </c>
      <c r="P77" s="474">
        <f>'ADU-361'!$B$15</f>
        <v>2020</v>
      </c>
      <c r="Q77" s="475">
        <f t="shared" si="0"/>
        <v>0</v>
      </c>
      <c r="R77" s="478">
        <f t="shared" si="40"/>
        <v>0</v>
      </c>
      <c r="S77" s="478">
        <f t="shared" si="41"/>
        <v>0</v>
      </c>
      <c r="T77" s="478">
        <f t="shared" si="42"/>
        <v>0</v>
      </c>
      <c r="U77" s="478">
        <f t="shared" si="43"/>
        <v>0</v>
      </c>
      <c r="V77" s="478">
        <f t="shared" si="44"/>
        <v>0</v>
      </c>
      <c r="W77" s="478">
        <f t="shared" si="45"/>
        <v>0</v>
      </c>
      <c r="X77" s="478">
        <f t="shared" si="46"/>
        <v>0</v>
      </c>
    </row>
    <row r="78" spans="1:24" s="477" customFormat="1" x14ac:dyDescent="0.25">
      <c r="A78" s="676" t="s">
        <v>707</v>
      </c>
      <c r="B78" s="478" t="str">
        <f>'ADU-362'!$B$7</f>
        <v>Logement</v>
      </c>
      <c r="C78" s="478" t="str">
        <f>'ADU-362'!$B$8</f>
        <v>Pompes à chaleur A-A</v>
      </c>
      <c r="D78" s="478" t="str">
        <f>'ADU-362'!$C$4</f>
        <v>Logement</v>
      </c>
      <c r="E78" s="478" t="str">
        <f>'ADU-362'!$B$11</f>
        <v>Citoyen</v>
      </c>
      <c r="F78" s="468" t="str">
        <f>'ADU-362'!$B$5</f>
        <v>ECOPACK</v>
      </c>
      <c r="G78" s="534">
        <f>'ADU-362'!$B$16</f>
        <v>137500</v>
      </c>
      <c r="H78" s="468" t="str">
        <f>'ADU-362'!$B$6</f>
        <v>Pas de subside</v>
      </c>
      <c r="I78" s="534">
        <f>'ADU-362'!$B$17</f>
        <v>0</v>
      </c>
      <c r="J78" s="534">
        <f>'ADU-362'!$B$20</f>
        <v>1764.596273291927</v>
      </c>
      <c r="K78" s="534">
        <f>'ADU-362'!$B$21</f>
        <v>0</v>
      </c>
      <c r="L78" s="535">
        <f>'ADU-362'!$B$23</f>
        <v>14.167546638507556</v>
      </c>
      <c r="M78" s="540">
        <f>'ADU-362'!$B$19/1000</f>
        <v>120.18633540372672</v>
      </c>
      <c r="N78" s="478">
        <f>IF(G78=0,0,M78/(G78-I78)*1000)</f>
        <v>0.87408243929983065</v>
      </c>
      <c r="O78" s="538" t="str">
        <f>'ADU-362'!$E$5</f>
        <v>En cours</v>
      </c>
      <c r="P78" s="474">
        <f>'ADU-362'!$B$15</f>
        <v>2020</v>
      </c>
      <c r="Q78" s="475">
        <f t="shared" si="0"/>
        <v>0</v>
      </c>
      <c r="R78" s="478">
        <f>IF(O78="Terminé",M78,0)</f>
        <v>0</v>
      </c>
      <c r="S78" s="478">
        <f>IF(D78="Agriculture",R78,0)</f>
        <v>0</v>
      </c>
      <c r="T78" s="478">
        <f>IF(D78="Industrie", R78,0)</f>
        <v>0</v>
      </c>
      <c r="U78" s="478">
        <f>IF(D78="Logement", R78,0)</f>
        <v>0</v>
      </c>
      <c r="V78" s="478">
        <f>IF(D78="Tertiaire",R78,0)</f>
        <v>0</v>
      </c>
      <c r="W78" s="478">
        <f>IF(D78="Transport",R78,0)</f>
        <v>0</v>
      </c>
      <c r="X78" s="478">
        <f>IF(D78="Communal",R78,0)</f>
        <v>0</v>
      </c>
    </row>
    <row r="79" spans="1:24" s="477" customFormat="1" x14ac:dyDescent="0.25">
      <c r="A79" s="676" t="s">
        <v>708</v>
      </c>
      <c r="B79" s="478" t="str">
        <f>'ADU-363'!$B$7</f>
        <v>Logement</v>
      </c>
      <c r="C79" s="478" t="str">
        <f>'ADU-363'!$B$8</f>
        <v>Pompes à chaleur A-E</v>
      </c>
      <c r="D79" s="478" t="str">
        <f>'ADU-363'!$C$4</f>
        <v>Logement</v>
      </c>
      <c r="E79" s="478" t="str">
        <f>'ADU-363'!$B$11</f>
        <v>Citoyen</v>
      </c>
      <c r="F79" s="468" t="str">
        <f>'ADU-363'!$B$5</f>
        <v>ECOPACK</v>
      </c>
      <c r="G79" s="534">
        <f>'ADU-363'!$B$16</f>
        <v>200000</v>
      </c>
      <c r="H79" s="468" t="str">
        <f>'ADU-363'!$B$6</f>
        <v>Pas de subside</v>
      </c>
      <c r="I79" s="534">
        <f>'ADU-363'!$B$17</f>
        <v>0</v>
      </c>
      <c r="J79" s="534">
        <f>'ADU-363'!$B$20</f>
        <v>2732.2654462242544</v>
      </c>
      <c r="K79" s="534">
        <f>'ADU-363'!$B$21</f>
        <v>0</v>
      </c>
      <c r="L79" s="535">
        <f>'ADU-363'!$B$23</f>
        <v>32.024706867671711</v>
      </c>
      <c r="M79" s="540">
        <f>'ADU-363'!$B$19/1000</f>
        <v>123.56979405034325</v>
      </c>
      <c r="N79" s="478">
        <f>IF(G79=0,0,M79/(G79-I79)*1000)</f>
        <v>0.61784897025171626</v>
      </c>
      <c r="O79" s="538" t="str">
        <f>'ADU-363'!$E$5</f>
        <v>En cours</v>
      </c>
      <c r="P79" s="474">
        <f>'ADU-363'!$B$15</f>
        <v>2020</v>
      </c>
      <c r="Q79" s="475">
        <f t="shared" si="0"/>
        <v>0</v>
      </c>
      <c r="R79" s="478">
        <f>IF(O79="Terminé",M79,0)</f>
        <v>0</v>
      </c>
      <c r="S79" s="478">
        <f>IF(D79="Agriculture",R79,0)</f>
        <v>0</v>
      </c>
      <c r="T79" s="478">
        <f>IF(D79="Industrie", R79,0)</f>
        <v>0</v>
      </c>
      <c r="U79" s="478">
        <f>IF(D79="Logement", R79,0)</f>
        <v>0</v>
      </c>
      <c r="V79" s="478">
        <f>IF(D79="Tertiaire",R79,0)</f>
        <v>0</v>
      </c>
      <c r="W79" s="478">
        <f>IF(D79="Transport",R79,0)</f>
        <v>0</v>
      </c>
      <c r="X79" s="478">
        <f>IF(D79="Communal",R79,0)</f>
        <v>0</v>
      </c>
    </row>
    <row r="80" spans="1:24" s="477" customFormat="1" x14ac:dyDescent="0.25">
      <c r="A80" s="676" t="s">
        <v>710</v>
      </c>
      <c r="B80" s="478" t="str">
        <f>'ADU-364'!$B$7</f>
        <v>Logement</v>
      </c>
      <c r="C80" s="478" t="str">
        <f>'ADU-364'!$B$8</f>
        <v>Pompes à chaleur A-E</v>
      </c>
      <c r="D80" s="478" t="str">
        <f>'ADU-364'!$C$4</f>
        <v>Logement</v>
      </c>
      <c r="E80" s="478" t="str">
        <f>'ADU-364'!$B$11</f>
        <v>Citoyen</v>
      </c>
      <c r="F80" s="468" t="str">
        <f>'ADU-364'!$B$5</f>
        <v>ECOPACK</v>
      </c>
      <c r="G80" s="534">
        <f>'ADU-364'!$B$16</f>
        <v>350000</v>
      </c>
      <c r="H80" s="468" t="str">
        <f>'ADU-364'!$B$6</f>
        <v>Prime RW</v>
      </c>
      <c r="I80" s="534">
        <f>'ADU-364'!$B$17</f>
        <v>40000</v>
      </c>
      <c r="J80" s="534">
        <f>'ADU-364'!$B$20</f>
        <v>3187.64302059496</v>
      </c>
      <c r="K80" s="534">
        <f>'ADU-364'!$B$21</f>
        <v>0</v>
      </c>
      <c r="L80" s="535">
        <f>'ADU-364'!$B$23</f>
        <v>26.665470208183823</v>
      </c>
      <c r="M80" s="540">
        <f>'ADU-364'!$B$19/1000</f>
        <v>144.16475972540042</v>
      </c>
      <c r="N80" s="478">
        <f>IF(G80=0,0,M80/(G80-I80)*1000)</f>
        <v>0.46504761201742068</v>
      </c>
      <c r="O80" s="538" t="str">
        <f>'ADU-364'!$E$5</f>
        <v>En cours</v>
      </c>
      <c r="P80" s="474">
        <f>'ADU-364'!$B$15</f>
        <v>2020</v>
      </c>
      <c r="Q80" s="475">
        <f t="shared" si="0"/>
        <v>0</v>
      </c>
      <c r="R80" s="478">
        <f>IF(O80="Terminé",M80,0)</f>
        <v>0</v>
      </c>
      <c r="S80" s="478">
        <f>IF(D80="Agriculture",R80,0)</f>
        <v>0</v>
      </c>
      <c r="T80" s="478">
        <f>IF(D80="Industrie", R80,0)</f>
        <v>0</v>
      </c>
      <c r="U80" s="478">
        <f>IF(D80="Logement", R80,0)</f>
        <v>0</v>
      </c>
      <c r="V80" s="478">
        <f>IF(D80="Tertiaire",R80,0)</f>
        <v>0</v>
      </c>
      <c r="W80" s="478">
        <f>IF(D80="Transport",R80,0)</f>
        <v>0</v>
      </c>
      <c r="X80" s="478">
        <f>IF(D80="Communal",R80,0)</f>
        <v>0</v>
      </c>
    </row>
    <row r="81" spans="1:70" s="576" customFormat="1" x14ac:dyDescent="0.25">
      <c r="A81" s="782" t="s">
        <v>720</v>
      </c>
      <c r="B81" s="624" t="str">
        <f>'ADU-365'!$B$7</f>
        <v>Logement</v>
      </c>
      <c r="C81" s="624" t="str">
        <f>'ADU-365'!$B$8</f>
        <v>Pompes à chaleur E-E</v>
      </c>
      <c r="D81" s="624" t="str">
        <f>'ADU-365'!$C$4</f>
        <v>Logement</v>
      </c>
      <c r="E81" s="624" t="str">
        <f>'ADU-365'!$B$11</f>
        <v>Citoyen</v>
      </c>
      <c r="F81" s="569" t="str">
        <f>'ADU-365'!$B$5</f>
        <v>Prêt bancaire</v>
      </c>
      <c r="G81" s="625">
        <f>'ADU-365'!$B$16</f>
        <v>750000</v>
      </c>
      <c r="H81" s="569" t="str">
        <f>'ADU-365'!$B$6</f>
        <v>Subs RW</v>
      </c>
      <c r="I81" s="625">
        <f>'ADU-365'!$B$17</f>
        <v>150000</v>
      </c>
      <c r="J81" s="625">
        <f>'ADU-365'!$B$20</f>
        <v>1496.1352657004827</v>
      </c>
      <c r="K81" s="625">
        <f>'ADU-365'!$B$21</f>
        <v>0</v>
      </c>
      <c r="L81" s="626">
        <f>'ADU-365'!$B$23</f>
        <v>398.02550855666783</v>
      </c>
      <c r="M81" s="631">
        <f>'ADU-365'!$B$19/1000</f>
        <v>43.236714975845409</v>
      </c>
      <c r="N81" s="624">
        <f>IF(G81=0,0,M81/(G81-I81)*1000)</f>
        <v>7.2061191626409005E-2</v>
      </c>
      <c r="O81" s="629" t="str">
        <f>'ADU-365'!$E$5</f>
        <v>A faire</v>
      </c>
      <c r="P81" s="574">
        <f>'ADU-365'!$B$15</f>
        <v>2020</v>
      </c>
      <c r="Q81" s="247">
        <f t="shared" si="0"/>
        <v>0</v>
      </c>
      <c r="R81" s="624">
        <f>IF(O81="Terminé",M81,0)</f>
        <v>0</v>
      </c>
      <c r="S81" s="624">
        <f>IF(D81="Agriculture",R81,0)</f>
        <v>0</v>
      </c>
      <c r="T81" s="624">
        <f>IF(D81="Industrie", R81,0)</f>
        <v>0</v>
      </c>
      <c r="U81" s="624">
        <f>IF(D81="Logement", R81,0)</f>
        <v>0</v>
      </c>
      <c r="V81" s="624">
        <f>IF(D81="Tertiaire",R81,0)</f>
        <v>0</v>
      </c>
      <c r="W81" s="624">
        <f>IF(D81="Transport",R81,0)</f>
        <v>0</v>
      </c>
      <c r="X81" s="624">
        <f>IF(D81="Communal",R81,0)</f>
        <v>0</v>
      </c>
    </row>
    <row r="82" spans="1:70" s="516" customFormat="1" x14ac:dyDescent="0.25">
      <c r="A82" s="647" t="s">
        <v>480</v>
      </c>
      <c r="B82" s="507" t="str">
        <f>'ADU-37'!$B$7</f>
        <v>Réseau de haies</v>
      </c>
      <c r="C82" s="507" t="str">
        <f>'ADU-37'!$B$8</f>
        <v>Réintroduction de haies vives</v>
      </c>
      <c r="D82" s="507" t="str">
        <f>'ADU-37'!$C$4</f>
        <v>Territoire</v>
      </c>
      <c r="E82" s="507" t="str">
        <f>'ADU-37'!$B$11</f>
        <v>AC HABAY</v>
      </c>
      <c r="F82" s="508" t="str">
        <f>'ADU-37'!$B$5</f>
        <v>Fonds propres</v>
      </c>
      <c r="G82" s="509">
        <f>'ADU-37'!$B$16</f>
        <v>12000</v>
      </c>
      <c r="H82" s="508" t="str">
        <f>'ADU-37'!$B$6</f>
        <v>Subs RW</v>
      </c>
      <c r="I82" s="509">
        <f>'ADU-37'!$B$17</f>
        <v>8400</v>
      </c>
      <c r="J82" s="509">
        <f>'ADU-37'!$B$20</f>
        <v>1</v>
      </c>
      <c r="K82" s="509">
        <f>'ADU-37'!$B$21</f>
        <v>0</v>
      </c>
      <c r="L82" s="507">
        <f>'ADU-37'!$B$23</f>
        <v>3600</v>
      </c>
      <c r="M82" s="519">
        <f>'ADU-37'!$B$19/1000</f>
        <v>1.6</v>
      </c>
      <c r="N82" s="507">
        <f t="shared" si="71"/>
        <v>0.44444444444444448</v>
      </c>
      <c r="O82" s="512" t="str">
        <f>'ADU-37'!$E$5</f>
        <v>Terminé</v>
      </c>
      <c r="P82" s="513">
        <f>'ADU-37'!$B$15</f>
        <v>2020</v>
      </c>
      <c r="Q82" s="514">
        <f t="shared" si="0"/>
        <v>1.6</v>
      </c>
      <c r="R82" s="507">
        <f t="shared" si="40"/>
        <v>1.6</v>
      </c>
      <c r="S82" s="507">
        <f t="shared" si="41"/>
        <v>0</v>
      </c>
      <c r="T82" s="507">
        <f t="shared" si="42"/>
        <v>0</v>
      </c>
      <c r="U82" s="507">
        <f t="shared" si="43"/>
        <v>0</v>
      </c>
      <c r="V82" s="507">
        <f t="shared" si="44"/>
        <v>0</v>
      </c>
      <c r="W82" s="507">
        <f t="shared" si="45"/>
        <v>0</v>
      </c>
      <c r="X82" s="507">
        <f t="shared" si="46"/>
        <v>0</v>
      </c>
    </row>
    <row r="83" spans="1:70" s="516" customFormat="1" x14ac:dyDescent="0.25">
      <c r="A83" s="647" t="s">
        <v>905</v>
      </c>
      <c r="B83" s="507" t="str">
        <f>'ADU-371'!$B$7</f>
        <v>Réseau de haies</v>
      </c>
      <c r="C83" s="507" t="str">
        <f>'ADU-371'!$B$8</f>
        <v>Réintroduction de haies vives</v>
      </c>
      <c r="D83" s="507" t="str">
        <f>'ADU-371'!$C$4</f>
        <v>Agriculture</v>
      </c>
      <c r="E83" s="507" t="str">
        <f>'ADU-371'!$B$11</f>
        <v>Agriculture</v>
      </c>
      <c r="F83" s="508" t="str">
        <f>'ADU-371'!$B$5</f>
        <v>Fonds propres</v>
      </c>
      <c r="G83" s="509">
        <f>'ADU-371'!$B$16</f>
        <v>15000</v>
      </c>
      <c r="H83" s="508" t="str">
        <f>'ADU-371'!$B$6</f>
        <v>Subs RW</v>
      </c>
      <c r="I83" s="509">
        <f>'ADU-371'!$B$17</f>
        <v>10500</v>
      </c>
      <c r="J83" s="509">
        <f>'ADU-371'!$B$20</f>
        <v>1</v>
      </c>
      <c r="K83" s="509">
        <f>'ADU-371'!$B$21</f>
        <v>0</v>
      </c>
      <c r="L83" s="518">
        <f>'ADU-371'!$B$23</f>
        <v>4500</v>
      </c>
      <c r="M83" s="519">
        <f>'ADU-371'!$B$24</f>
        <v>90.522000000000006</v>
      </c>
      <c r="N83" s="507">
        <f t="shared" ref="N83" si="72">IF(G83=0,0,M83/(G83-I83)*1000)</f>
        <v>20.116000000000003</v>
      </c>
      <c r="O83" s="512" t="str">
        <f>'ADU-371'!$E$5</f>
        <v>A faire</v>
      </c>
      <c r="P83" s="513">
        <f>'ADU-371'!$B$15</f>
        <v>2020</v>
      </c>
      <c r="Q83" s="514">
        <f t="shared" ref="Q83" si="73">IF(O83="Terminé",M83,0)</f>
        <v>0</v>
      </c>
      <c r="R83" s="507">
        <f t="shared" ref="R83" si="74">IF(O83="Terminé",M83,0)</f>
        <v>0</v>
      </c>
      <c r="S83" s="507">
        <f t="shared" ref="S83" si="75">IF(D83="Agriculture",R83,0)</f>
        <v>0</v>
      </c>
      <c r="T83" s="507">
        <f t="shared" ref="T83" si="76">IF(D83="Industrie", R83,0)</f>
        <v>0</v>
      </c>
      <c r="U83" s="507">
        <f t="shared" ref="U83" si="77">IF(D83="Logement", R83,0)</f>
        <v>0</v>
      </c>
      <c r="V83" s="507">
        <f t="shared" ref="V83" si="78">IF(D83="Tertiaire",R83,0)</f>
        <v>0</v>
      </c>
      <c r="W83" s="507">
        <f t="shared" ref="W83" si="79">IF(D83="Transport",R83,0)</f>
        <v>0</v>
      </c>
      <c r="X83" s="507">
        <f t="shared" ref="X83" si="80">IF(D83="Communal",R83,0)</f>
        <v>0</v>
      </c>
    </row>
    <row r="84" spans="1:70" s="516" customFormat="1" x14ac:dyDescent="0.25">
      <c r="A84" s="647" t="s">
        <v>479</v>
      </c>
      <c r="B84" s="507" t="str">
        <f>'ADU-38'!$B$7</f>
        <v>Séquestration de CO2</v>
      </c>
      <c r="C84" s="507" t="str">
        <f>'ADU-38'!$B$8</f>
        <v>Vergers conservateurs</v>
      </c>
      <c r="D84" s="507" t="str">
        <f>'ADU-38'!$C$4</f>
        <v>Territoire</v>
      </c>
      <c r="E84" s="507" t="str">
        <f>'ADU-38'!$B$11</f>
        <v>AC HABAY</v>
      </c>
      <c r="F84" s="508" t="str">
        <f>'ADU-38'!$B$5</f>
        <v>Fonds propres</v>
      </c>
      <c r="G84" s="509">
        <f>'ADU-38'!$B$16</f>
        <v>54000</v>
      </c>
      <c r="H84" s="508" t="str">
        <f>'ADU-38'!$B$6</f>
        <v>Subs RW</v>
      </c>
      <c r="I84" s="509">
        <f>'ADU-38'!$B$17</f>
        <v>37800</v>
      </c>
      <c r="J84" s="509">
        <f>'ADU-38'!$B$20</f>
        <v>1</v>
      </c>
      <c r="K84" s="509">
        <f>'ADU-38'!$B$21</f>
        <v>0</v>
      </c>
      <c r="L84" s="507">
        <f>'ADU-38'!$B$23</f>
        <v>16200</v>
      </c>
      <c r="M84" s="519">
        <f>'ADU-38'!$B$19/1000</f>
        <v>0</v>
      </c>
      <c r="N84" s="507">
        <f t="shared" si="71"/>
        <v>0</v>
      </c>
      <c r="O84" s="512" t="str">
        <f>'ADU-38'!$E$5</f>
        <v>Terminé</v>
      </c>
      <c r="P84" s="513">
        <f>'ADU-38'!$B$15</f>
        <v>2020</v>
      </c>
      <c r="Q84" s="514">
        <f t="shared" si="0"/>
        <v>0</v>
      </c>
      <c r="R84" s="507">
        <f t="shared" si="40"/>
        <v>0</v>
      </c>
      <c r="S84" s="507">
        <f t="shared" si="41"/>
        <v>0</v>
      </c>
      <c r="T84" s="507">
        <f t="shared" si="42"/>
        <v>0</v>
      </c>
      <c r="U84" s="507">
        <f t="shared" si="43"/>
        <v>0</v>
      </c>
      <c r="V84" s="507">
        <f t="shared" si="44"/>
        <v>0</v>
      </c>
      <c r="W84" s="507">
        <f t="shared" si="45"/>
        <v>0</v>
      </c>
      <c r="X84" s="507">
        <f t="shared" si="46"/>
        <v>0</v>
      </c>
    </row>
    <row r="85" spans="1:70" s="516" customFormat="1" x14ac:dyDescent="0.25">
      <c r="A85" s="647" t="s">
        <v>719</v>
      </c>
      <c r="B85" s="507" t="str">
        <f>'ADU-381'!$B$7</f>
        <v>Séquestration de CO2 par reboisement</v>
      </c>
      <c r="C85" s="507" t="str">
        <f>'ADU-381'!$B$8</f>
        <v>Reboisement d'aires non valorisées</v>
      </c>
      <c r="D85" s="507" t="str">
        <f>'ADU-381'!$C$4</f>
        <v>Territoire</v>
      </c>
      <c r="E85" s="507" t="str">
        <f>'ADU-381'!$B$11</f>
        <v>AC HABAY</v>
      </c>
      <c r="F85" s="508" t="str">
        <f>'ADU-381'!$B$5</f>
        <v>Fonds propres</v>
      </c>
      <c r="G85" s="509">
        <f>'ADU-381'!$B$16</f>
        <v>12000</v>
      </c>
      <c r="H85" s="508" t="str">
        <f>'ADU-381'!$B$6</f>
        <v>Subs RW</v>
      </c>
      <c r="I85" s="509">
        <f>'ADU-381'!$B$17</f>
        <v>8400</v>
      </c>
      <c r="J85" s="509">
        <f>'ADU-381'!$B$20</f>
        <v>1</v>
      </c>
      <c r="K85" s="509">
        <f>'ADU-381'!$B$21</f>
        <v>0</v>
      </c>
      <c r="L85" s="518">
        <f>'ADU-381'!$B$23</f>
        <v>3600</v>
      </c>
      <c r="M85" s="519">
        <f>'ADU-381'!$B$19/1000</f>
        <v>0</v>
      </c>
      <c r="N85" s="507">
        <f>IF(G85=0,0,M85/(G85-I85)*1000)</f>
        <v>0</v>
      </c>
      <c r="O85" s="512" t="str">
        <f>'ADU-381'!$E$5</f>
        <v>Terminé</v>
      </c>
      <c r="P85" s="513">
        <f>'ADU-381'!$B$15</f>
        <v>2015</v>
      </c>
      <c r="Q85" s="514">
        <f t="shared" si="0"/>
        <v>0</v>
      </c>
      <c r="R85" s="507">
        <f>IF(O85="Terminé",M85,0)</f>
        <v>0</v>
      </c>
      <c r="S85" s="507">
        <f>IF(D85="Agriculture",R85,0)</f>
        <v>0</v>
      </c>
      <c r="T85" s="507">
        <f>IF(D85="Industrie", R85,0)</f>
        <v>0</v>
      </c>
      <c r="U85" s="507">
        <f>IF(D85="Logement", R85,0)</f>
        <v>0</v>
      </c>
      <c r="V85" s="507">
        <f>IF(D85="Tertiaire",R85,0)</f>
        <v>0</v>
      </c>
      <c r="W85" s="507">
        <f>IF(D85="Transport",R85,0)</f>
        <v>0</v>
      </c>
      <c r="X85" s="507">
        <f>IF(D85="Communal",R85,0)</f>
        <v>0</v>
      </c>
    </row>
    <row r="86" spans="1:70" s="516" customFormat="1" x14ac:dyDescent="0.25">
      <c r="A86" s="647" t="s">
        <v>800</v>
      </c>
      <c r="B86" s="507" t="str">
        <f>'ADU-389'!$B$7</f>
        <v>Production de combustible biomasse</v>
      </c>
      <c r="C86" s="507" t="str">
        <f>'ADU-389'!$B$8</f>
        <v>Culture de myscanthus</v>
      </c>
      <c r="D86" s="507" t="str">
        <f>'ADU-389'!$C$4</f>
        <v>Agriculture</v>
      </c>
      <c r="E86" s="507" t="str">
        <f>'ADU-389'!$B$11</f>
        <v>Agriculture</v>
      </c>
      <c r="F86" s="508" t="str">
        <f>'ADU-389'!$B$5</f>
        <v>Fonds propres</v>
      </c>
      <c r="G86" s="509">
        <f>'ADU-389'!$B$16</f>
        <v>10000</v>
      </c>
      <c r="H86" s="508" t="str">
        <f>'ADU-389'!$B$6</f>
        <v>Subs RW</v>
      </c>
      <c r="I86" s="509">
        <f>'ADU-389'!$B$17</f>
        <v>7000</v>
      </c>
      <c r="J86" s="509">
        <f>'ADU-389'!$B$20</f>
        <v>28000</v>
      </c>
      <c r="K86" s="509">
        <f>'ADU-389'!$B$21</f>
        <v>0</v>
      </c>
      <c r="L86" s="518">
        <f>'ADU-389'!$B$23</f>
        <v>0.10714285714285714</v>
      </c>
      <c r="M86" s="519">
        <f>'ADU-389'!$B$19/1000</f>
        <v>2000</v>
      </c>
      <c r="N86" s="507">
        <f>IF(G86=0,0,M86/(G86-I86)*1000)</f>
        <v>666.66666666666663</v>
      </c>
      <c r="O86" s="512" t="str">
        <f>'ADU-389'!$E$5</f>
        <v>A faire</v>
      </c>
      <c r="P86" s="513">
        <f>'ADU-389'!$B$15</f>
        <v>2020</v>
      </c>
      <c r="Q86" s="514">
        <f t="shared" si="0"/>
        <v>0</v>
      </c>
      <c r="R86" s="507">
        <f>IF(O86="Terminé",M86,0)</f>
        <v>0</v>
      </c>
      <c r="S86" s="507">
        <f>IF(D86="Agriculture",R86,0)</f>
        <v>0</v>
      </c>
      <c r="T86" s="507">
        <f>IF(D86="Industrie", R86,0)</f>
        <v>0</v>
      </c>
      <c r="U86" s="507">
        <f>IF(D86="Logement", R86,0)</f>
        <v>0</v>
      </c>
      <c r="V86" s="507">
        <f>IF(D86="Tertiaire",R86,0)</f>
        <v>0</v>
      </c>
      <c r="W86" s="507">
        <f>IF(D86="Transport",R86,0)</f>
        <v>0</v>
      </c>
      <c r="X86" s="507">
        <f>IF(D86="Communal",R86,0)</f>
        <v>0</v>
      </c>
    </row>
    <row r="87" spans="1:70" s="503" customFormat="1" x14ac:dyDescent="0.25">
      <c r="A87" s="771" t="s">
        <v>478</v>
      </c>
      <c r="B87" s="504" t="str">
        <f>'ADU-39'!$B$7</f>
        <v>Energie éolienne</v>
      </c>
      <c r="C87" s="504" t="str">
        <f>'ADU-39'!$B$8</f>
        <v>Participation d'Idélux dans les parcs éoliens</v>
      </c>
      <c r="D87" s="504" t="str">
        <f>'ADU-39'!$C$4</f>
        <v>Territoire</v>
      </c>
      <c r="E87" s="504" t="str">
        <f>'ADU-39'!$B$11</f>
        <v>IDELUX</v>
      </c>
      <c r="F87" s="494" t="str">
        <f>'ADU-39'!$B$5</f>
        <v>Montage</v>
      </c>
      <c r="G87" s="526">
        <f>'ADU-39'!$B$16</f>
        <v>456814.5820238844</v>
      </c>
      <c r="H87" s="494" t="str">
        <f>'ADU-39'!$B$6</f>
        <v>CV</v>
      </c>
      <c r="I87" s="526">
        <f>'ADU-39'!$B$17</f>
        <v>137044.37460716531</v>
      </c>
      <c r="J87" s="526">
        <f>'ADU-39'!$B$20</f>
        <v>12971.730601777859</v>
      </c>
      <c r="K87" s="526">
        <f>'ADU-39'!$B$21</f>
        <v>21079.062227889019</v>
      </c>
      <c r="L87" s="504">
        <f>'ADU-39'!$B$23</f>
        <v>9.3909768567302816</v>
      </c>
      <c r="M87" s="531">
        <f>'ADU-39'!$B$19/1000</f>
        <v>324.29326504444646</v>
      </c>
      <c r="N87" s="504">
        <f t="shared" si="71"/>
        <v>1.0141447124304268</v>
      </c>
      <c r="O87" s="529" t="str">
        <f>'ADU-39'!$E$5</f>
        <v>Terminé</v>
      </c>
      <c r="P87" s="500">
        <f>'ADU-39'!$B$15</f>
        <v>2020</v>
      </c>
      <c r="Q87" s="501">
        <f t="shared" si="0"/>
        <v>324.29326504444646</v>
      </c>
      <c r="R87" s="504">
        <f t="shared" si="40"/>
        <v>324.29326504444646</v>
      </c>
      <c r="S87" s="504">
        <f t="shared" si="41"/>
        <v>0</v>
      </c>
      <c r="T87" s="504">
        <f t="shared" si="42"/>
        <v>0</v>
      </c>
      <c r="U87" s="504">
        <f t="shared" si="43"/>
        <v>0</v>
      </c>
      <c r="V87" s="504">
        <f t="shared" si="44"/>
        <v>0</v>
      </c>
      <c r="W87" s="504">
        <f t="shared" si="45"/>
        <v>0</v>
      </c>
      <c r="X87" s="504">
        <f t="shared" si="46"/>
        <v>0</v>
      </c>
      <c r="BK87" s="532"/>
      <c r="BR87" s="532"/>
    </row>
    <row r="88" spans="1:70" s="490" customFormat="1" x14ac:dyDescent="0.25">
      <c r="A88" s="783" t="s">
        <v>477</v>
      </c>
      <c r="B88" s="491" t="str">
        <f>'ADU-40'!$B$7</f>
        <v>Stockage d'énergie</v>
      </c>
      <c r="C88" s="491" t="str">
        <f>'ADU-40'!$B$8</f>
        <v>Installation innovante de stockage d'énergie</v>
      </c>
      <c r="D88" s="491" t="str">
        <f>'ADU-40'!$C$4</f>
        <v>Industrie</v>
      </c>
      <c r="E88" s="491" t="str">
        <f>'ADU-40'!$B$11</f>
        <v>Industrie</v>
      </c>
      <c r="F88" s="481" t="str">
        <f>'ADU-40'!$B$5</f>
        <v>Montage</v>
      </c>
      <c r="G88" s="542">
        <f>'ADU-40'!$B$16</f>
        <v>3000000</v>
      </c>
      <c r="H88" s="481" t="str">
        <f>'ADU-40'!$B$6</f>
        <v>Subs RW</v>
      </c>
      <c r="I88" s="542">
        <f>'ADU-40'!$B$17</f>
        <v>600000</v>
      </c>
      <c r="J88" s="542">
        <f>'ADU-40'!$B$20</f>
        <v>624412.80000000016</v>
      </c>
      <c r="K88" s="542">
        <f>'ADU-40'!$B$21</f>
        <v>0</v>
      </c>
      <c r="L88" s="543">
        <f>'ADU-40'!$B$23</f>
        <v>3.8429865627354203</v>
      </c>
      <c r="M88" s="548">
        <f>'ADU-40'!$B$19/1000</f>
        <v>3122.0640000000003</v>
      </c>
      <c r="N88" s="491">
        <f t="shared" si="71"/>
        <v>1.3008600000000001</v>
      </c>
      <c r="O88" s="546" t="str">
        <f>'ADU-40'!$E$5</f>
        <v>A faire</v>
      </c>
      <c r="P88" s="487">
        <f>'ADU-40'!$B$15</f>
        <v>2020</v>
      </c>
      <c r="Q88" s="488">
        <f t="shared" si="0"/>
        <v>0</v>
      </c>
      <c r="R88" s="491">
        <f t="shared" si="40"/>
        <v>0</v>
      </c>
      <c r="S88" s="491">
        <f t="shared" si="41"/>
        <v>0</v>
      </c>
      <c r="T88" s="491">
        <f t="shared" si="42"/>
        <v>0</v>
      </c>
      <c r="U88" s="491">
        <f t="shared" si="43"/>
        <v>0</v>
      </c>
      <c r="V88" s="491">
        <f t="shared" si="44"/>
        <v>0</v>
      </c>
      <c r="W88" s="491">
        <f t="shared" si="45"/>
        <v>0</v>
      </c>
      <c r="X88" s="491">
        <f t="shared" si="46"/>
        <v>0</v>
      </c>
    </row>
    <row r="89" spans="1:70" x14ac:dyDescent="0.25">
      <c r="A89" s="750"/>
      <c r="B89" s="245"/>
      <c r="C89" s="245"/>
      <c r="D89" s="245"/>
      <c r="E89" s="245"/>
      <c r="F89" s="245"/>
      <c r="G89" s="246"/>
      <c r="H89" s="246">
        <v>6</v>
      </c>
      <c r="I89" s="246"/>
      <c r="J89" s="246"/>
      <c r="K89" s="246"/>
      <c r="L89" s="245"/>
      <c r="M89" s="247"/>
      <c r="N89" s="245"/>
      <c r="O89" s="272" t="str">
        <f>'ADU-222'!$E$5</f>
        <v>Terminé</v>
      </c>
      <c r="P89" s="270">
        <f>'ADU-222'!$B$15</f>
        <v>2014</v>
      </c>
      <c r="Q89" s="753">
        <f t="shared" si="0"/>
        <v>0</v>
      </c>
      <c r="R89" s="245">
        <f>IF(O89="Terminé",M89,0)</f>
        <v>0</v>
      </c>
      <c r="S89" s="245">
        <f>IF(D89="Agriculture",R89,0)</f>
        <v>0</v>
      </c>
      <c r="T89" s="245">
        <f>IF(D89="Industrie", R89,0)</f>
        <v>0</v>
      </c>
      <c r="U89" s="245">
        <f>IF(D89="Logement", R89,0)</f>
        <v>0</v>
      </c>
      <c r="V89" s="245">
        <f>IF(D89="Tertiaire",R89,0)</f>
        <v>0</v>
      </c>
      <c r="W89" s="245">
        <f>IF(D89="Transport",R89,0)</f>
        <v>0</v>
      </c>
      <c r="X89" s="245">
        <f>IF(D89="Communal",R89,0)</f>
        <v>0</v>
      </c>
    </row>
    <row r="90" spans="1:70" x14ac:dyDescent="0.25">
      <c r="G90" s="109">
        <f>SUM(G2:G88)-G57-G58-G64</f>
        <v>45861167.586129993</v>
      </c>
      <c r="Q90" s="247">
        <f t="shared" si="0"/>
        <v>0</v>
      </c>
      <c r="R90" s="245">
        <f>IF(O90="Terminé",M90,0)</f>
        <v>0</v>
      </c>
      <c r="S90" s="245">
        <f>IF(D90="Agriculture",R90,0)</f>
        <v>0</v>
      </c>
      <c r="T90" s="245">
        <f>IF(D90="Industrie", R90,0)</f>
        <v>0</v>
      </c>
      <c r="U90" s="245">
        <f>IF(D90="Logement", R90,0)</f>
        <v>0</v>
      </c>
      <c r="V90" s="245">
        <f>IF(D90="Tertiaire",R90,0)</f>
        <v>0</v>
      </c>
      <c r="W90" s="245">
        <f>IF(D90="Transport",R90,0)</f>
        <v>0</v>
      </c>
      <c r="X90" s="245">
        <f>IF(D90="Communal",R90,0)</f>
        <v>0</v>
      </c>
    </row>
    <row r="91" spans="1:70" x14ac:dyDescent="0.25">
      <c r="Q91" s="247">
        <f t="shared" si="0"/>
        <v>0</v>
      </c>
    </row>
    <row r="92" spans="1:70" x14ac:dyDescent="0.25">
      <c r="C92" s="80" t="s">
        <v>816</v>
      </c>
      <c r="D92" s="423"/>
      <c r="G92" s="109">
        <f>SUM(G2:G6)+SUM(G9:G16)+G29+G33+G36+G45</f>
        <v>2026737</v>
      </c>
      <c r="M92" s="590">
        <f>SUM(M2:M6)+SUM(M9:M16)+M29+M33+M36+M45</f>
        <v>0</v>
      </c>
      <c r="Q92" s="247">
        <f t="shared" si="0"/>
        <v>0</v>
      </c>
    </row>
    <row r="93" spans="1:70" ht="15.75" x14ac:dyDescent="0.25">
      <c r="C93" s="80" t="s">
        <v>817</v>
      </c>
      <c r="D93" s="425"/>
      <c r="G93" s="109">
        <f>G88+G60</f>
        <v>3300000</v>
      </c>
      <c r="M93" s="590">
        <f>M88+M60</f>
        <v>3122.0640000000003</v>
      </c>
      <c r="Q93" s="247">
        <f t="shared" si="0"/>
        <v>0</v>
      </c>
      <c r="R93" s="110">
        <f t="shared" ref="R93:X93" si="81">SUM(R2:R92)</f>
        <v>14351.172427631704</v>
      </c>
      <c r="S93" s="110">
        <f t="shared" si="81"/>
        <v>0</v>
      </c>
      <c r="T93" s="110">
        <f t="shared" si="81"/>
        <v>20.936399999999999</v>
      </c>
      <c r="U93" s="110">
        <f t="shared" si="81"/>
        <v>8254.0079857308137</v>
      </c>
      <c r="V93" s="110">
        <f t="shared" si="81"/>
        <v>247.95</v>
      </c>
      <c r="W93" s="110">
        <f t="shared" si="81"/>
        <v>19.157576856440965</v>
      </c>
      <c r="X93" s="110">
        <f t="shared" si="81"/>
        <v>4351.3181999999997</v>
      </c>
    </row>
    <row r="94" spans="1:70" x14ac:dyDescent="0.25">
      <c r="C94" s="80" t="s">
        <v>818</v>
      </c>
      <c r="D94" s="426"/>
      <c r="G94" s="601">
        <f>SUM(G77:G80)+G62+G56+SUM(G46:G49)+SUM(G40:G44)+G34+G19+G7+G8</f>
        <v>9767179.1233333331</v>
      </c>
      <c r="M94" s="590">
        <f>SUM(M77:M80)+M62+M56+SUM(M46:M49)+SUM(M40:M44)+M34+M19+M7+M8</f>
        <v>2645.8245395936974</v>
      </c>
      <c r="Q94" s="247">
        <f t="shared" si="0"/>
        <v>0</v>
      </c>
    </row>
    <row r="95" spans="1:70" x14ac:dyDescent="0.25">
      <c r="C95" s="80" t="s">
        <v>819</v>
      </c>
      <c r="D95" s="428"/>
      <c r="G95" s="109">
        <f>SUM(G82:G86)+G63+G59+G24</f>
        <v>513000</v>
      </c>
      <c r="M95" s="590">
        <f>SUM(M82:M86)+M63+M59+M24</f>
        <v>3497.8110000000001</v>
      </c>
      <c r="Q95" s="247">
        <f t="shared" si="0"/>
        <v>0</v>
      </c>
    </row>
    <row r="96" spans="1:70" x14ac:dyDescent="0.25">
      <c r="C96" s="80" t="s">
        <v>820</v>
      </c>
      <c r="D96" s="429"/>
      <c r="G96" s="109">
        <v>0</v>
      </c>
      <c r="M96" s="590">
        <v>0</v>
      </c>
      <c r="Q96" s="247">
        <f t="shared" ref="Q96:Q119" si="82">IF(O96="Terminé",M96,0)</f>
        <v>0</v>
      </c>
    </row>
    <row r="97" spans="3:17" x14ac:dyDescent="0.25">
      <c r="C97" s="80" t="s">
        <v>821</v>
      </c>
      <c r="D97" s="430"/>
      <c r="G97" s="109">
        <f>G87+SUM(G50:G55)+SUM(G25:G28)+SUM(G20:G23)</f>
        <v>13359450.382023886</v>
      </c>
      <c r="M97" s="590">
        <f>M87+SUM(M50:M55)+SUM(M25:M28)+SUM(M20:M23)</f>
        <v>4920.7456650444465</v>
      </c>
      <c r="Q97" s="247">
        <f t="shared" si="82"/>
        <v>0</v>
      </c>
    </row>
    <row r="98" spans="3:17" x14ac:dyDescent="0.25">
      <c r="C98" s="80" t="s">
        <v>822</v>
      </c>
      <c r="D98" s="424"/>
      <c r="G98" s="109">
        <f>G37+G38+G81</f>
        <v>2466000</v>
      </c>
      <c r="M98" s="590">
        <f>M37+M38+M81</f>
        <v>4309.2367149758456</v>
      </c>
      <c r="Q98" s="247">
        <f t="shared" si="82"/>
        <v>0</v>
      </c>
    </row>
    <row r="99" spans="3:17" x14ac:dyDescent="0.25">
      <c r="C99" s="80" t="s">
        <v>823</v>
      </c>
      <c r="D99" s="427"/>
      <c r="G99" s="109">
        <f>G61</f>
        <v>20000</v>
      </c>
      <c r="M99" s="590">
        <f>M61</f>
        <v>0</v>
      </c>
      <c r="Q99" s="247">
        <f t="shared" si="82"/>
        <v>0</v>
      </c>
    </row>
    <row r="100" spans="3:17" x14ac:dyDescent="0.25">
      <c r="C100" s="80" t="s">
        <v>824</v>
      </c>
      <c r="D100" s="431"/>
      <c r="G100" s="109">
        <f>SUM(G65:G75)</f>
        <v>4913630.1687092446</v>
      </c>
      <c r="M100" s="590">
        <f>SUM(M65:M75)</f>
        <v>73.155716856440975</v>
      </c>
      <c r="Q100" s="247">
        <f t="shared" si="82"/>
        <v>0</v>
      </c>
    </row>
    <row r="101" spans="3:17" x14ac:dyDescent="0.25">
      <c r="Q101" s="247">
        <f t="shared" si="82"/>
        <v>0</v>
      </c>
    </row>
    <row r="102" spans="3:17" x14ac:dyDescent="0.25">
      <c r="G102" s="109">
        <f>SUM(G92:G100)</f>
        <v>36365996.674066469</v>
      </c>
      <c r="M102" s="590">
        <f>SUM(M92:M100)</f>
        <v>18568.837636470431</v>
      </c>
      <c r="Q102" s="247">
        <f t="shared" si="82"/>
        <v>0</v>
      </c>
    </row>
    <row r="103" spans="3:17" x14ac:dyDescent="0.25">
      <c r="Q103" s="247">
        <f t="shared" si="82"/>
        <v>0</v>
      </c>
    </row>
    <row r="104" spans="3:17" x14ac:dyDescent="0.25">
      <c r="Q104" s="247">
        <f t="shared" si="82"/>
        <v>0</v>
      </c>
    </row>
    <row r="105" spans="3:17" x14ac:dyDescent="0.25">
      <c r="Q105" s="247">
        <f t="shared" si="82"/>
        <v>0</v>
      </c>
    </row>
    <row r="106" spans="3:17" x14ac:dyDescent="0.25">
      <c r="Q106" s="247">
        <f t="shared" si="82"/>
        <v>0</v>
      </c>
    </row>
    <row r="107" spans="3:17" x14ac:dyDescent="0.25">
      <c r="Q107" s="247">
        <f t="shared" si="82"/>
        <v>0</v>
      </c>
    </row>
    <row r="108" spans="3:17" x14ac:dyDescent="0.25">
      <c r="Q108" s="247">
        <f t="shared" si="82"/>
        <v>0</v>
      </c>
    </row>
    <row r="109" spans="3:17" x14ac:dyDescent="0.25">
      <c r="Q109" s="247">
        <f t="shared" si="82"/>
        <v>0</v>
      </c>
    </row>
    <row r="110" spans="3:17" x14ac:dyDescent="0.25">
      <c r="Q110" s="247">
        <f t="shared" si="82"/>
        <v>0</v>
      </c>
    </row>
    <row r="111" spans="3:17" x14ac:dyDescent="0.25">
      <c r="Q111" s="247">
        <f t="shared" si="82"/>
        <v>0</v>
      </c>
    </row>
    <row r="112" spans="3:17" x14ac:dyDescent="0.25">
      <c r="Q112" s="247">
        <f t="shared" si="82"/>
        <v>0</v>
      </c>
    </row>
    <row r="113" spans="17:17" x14ac:dyDescent="0.25">
      <c r="Q113" s="247">
        <f t="shared" si="82"/>
        <v>0</v>
      </c>
    </row>
    <row r="114" spans="17:17" x14ac:dyDescent="0.25">
      <c r="Q114" s="247">
        <f t="shared" si="82"/>
        <v>0</v>
      </c>
    </row>
    <row r="115" spans="17:17" x14ac:dyDescent="0.25">
      <c r="Q115" s="247">
        <f t="shared" si="82"/>
        <v>0</v>
      </c>
    </row>
    <row r="116" spans="17:17" x14ac:dyDescent="0.25">
      <c r="Q116" s="247">
        <f t="shared" si="82"/>
        <v>0</v>
      </c>
    </row>
    <row r="117" spans="17:17" x14ac:dyDescent="0.25">
      <c r="Q117" s="247">
        <f t="shared" si="82"/>
        <v>0</v>
      </c>
    </row>
    <row r="118" spans="17:17" x14ac:dyDescent="0.25">
      <c r="Q118" s="247">
        <f t="shared" si="82"/>
        <v>0</v>
      </c>
    </row>
    <row r="119" spans="17:17" x14ac:dyDescent="0.25">
      <c r="Q119" s="247">
        <f t="shared" si="82"/>
        <v>0</v>
      </c>
    </row>
    <row r="120" spans="17:17" x14ac:dyDescent="0.25">
      <c r="Q120" s="657">
        <f>SUM(Q101:Q116)</f>
        <v>0</v>
      </c>
    </row>
    <row r="122" spans="17:17" ht="15.75" x14ac:dyDescent="0.25">
      <c r="Q122" s="110">
        <f>SUM(Q2:Q120)</f>
        <v>14351.172427631704</v>
      </c>
    </row>
    <row r="126" spans="17:17" x14ac:dyDescent="0.25">
      <c r="Q126" s="657">
        <f>Q122-Q119</f>
        <v>14351.172427631704</v>
      </c>
    </row>
    <row r="133" spans="17:17" x14ac:dyDescent="0.25">
      <c r="Q133" s="660">
        <f>Q122</f>
        <v>14351.172427631704</v>
      </c>
    </row>
  </sheetData>
  <conditionalFormatting sqref="O36:P40 O4:P32 P33:P35 O43:P89">
    <cfRule type="containsText" dxfId="272" priority="10" operator="containsText" text="Terminé">
      <formula>NOT(ISERROR(SEARCH("Terminé",O4)))</formula>
    </cfRule>
    <cfRule type="containsText" dxfId="271" priority="11" operator="containsText" text="En cours">
      <formula>NOT(ISERROR(SEARCH("En cours",O4)))</formula>
    </cfRule>
    <cfRule type="containsText" dxfId="270" priority="12" operator="containsText" text="A faire">
      <formula>NOT(ISERROR(SEARCH("A faire",O4)))</formula>
    </cfRule>
  </conditionalFormatting>
  <conditionalFormatting sqref="O33:O35">
    <cfRule type="containsText" dxfId="269" priority="7" operator="containsText" text="Terminé">
      <formula>NOT(ISERROR(SEARCH("Terminé",O33)))</formula>
    </cfRule>
    <cfRule type="containsText" dxfId="268" priority="8" operator="containsText" text="En cours">
      <formula>NOT(ISERROR(SEARCH("En cours",O33)))</formula>
    </cfRule>
    <cfRule type="containsText" dxfId="267" priority="9" operator="containsText" text="A faire">
      <formula>NOT(ISERROR(SEARCH("A faire",O33)))</formula>
    </cfRule>
  </conditionalFormatting>
  <conditionalFormatting sqref="O41:P42">
    <cfRule type="containsText" dxfId="266" priority="4" operator="containsText" text="Terminé">
      <formula>NOT(ISERROR(SEARCH("Terminé",O41)))</formula>
    </cfRule>
    <cfRule type="containsText" dxfId="265" priority="5" operator="containsText" text="En cours">
      <formula>NOT(ISERROR(SEARCH("En cours",O41)))</formula>
    </cfRule>
    <cfRule type="containsText" dxfId="264" priority="6" operator="containsText" text="A faire">
      <formula>NOT(ISERROR(SEARCH("A faire",O41)))</formula>
    </cfRule>
  </conditionalFormatting>
  <conditionalFormatting sqref="O2:P3">
    <cfRule type="containsText" dxfId="263" priority="1" operator="containsText" text="Terminé">
      <formula>NOT(ISERROR(SEARCH("Terminé",O2)))</formula>
    </cfRule>
    <cfRule type="containsText" dxfId="262" priority="2" operator="containsText" text="En cours">
      <formula>NOT(ISERROR(SEARCH("En cours",O2)))</formula>
    </cfRule>
    <cfRule type="containsText" dxfId="261" priority="3" operator="containsText" text="A faire">
      <formula>NOT(ISERROR(SEARCH("A faire",O2)))</formula>
    </cfRule>
  </conditionalFormatting>
  <hyperlinks>
    <hyperlink ref="A2" location="'ADO-1'!A1" display="'ADO-1'!A1"/>
    <hyperlink ref="A3" location="'ADO-2'!A1" display="'ADO-2'!A1"/>
    <hyperlink ref="A4" location="'ADO-3'!A1" display="'ADO-3'!A1"/>
    <hyperlink ref="A5" location="'ADO-4'!A1" display="'ADO-4'!A1"/>
    <hyperlink ref="A6" location="'ADO-5'!A1" display="'ADO-5'!A1"/>
    <hyperlink ref="A7" location="'ADO-6'!A1" display="'ADO-6'!A1"/>
    <hyperlink ref="A8" location="'ADO-7'!A1" display="'ADO-7'!A1"/>
    <hyperlink ref="A9" location="'ADO-8'!A1" display="'ADO-8'!A1"/>
    <hyperlink ref="A10" location="'ADO-9'!A1" display="'ADO-9'!A1"/>
    <hyperlink ref="A11" location="'ADO-10'!A1" display="'ADO-10'!A1"/>
    <hyperlink ref="A12" location="'ADO-11'!A1" display="'ADO-11'!A1"/>
    <hyperlink ref="A19" location="'ADU-1'!A1" display="'ADU-1'!A1"/>
    <hyperlink ref="A20" location="'ADU-2'!A1" display="'ADU-2'!A1"/>
    <hyperlink ref="A24" location="'ADO-3'!A1" display="'ADO-3'!A1"/>
    <hyperlink ref="A29" location="'ADU-5'!A1" display="'ADU-5'!A1"/>
    <hyperlink ref="A33" location="'ADU-6'!A1" display="'ADU-6'!A1"/>
    <hyperlink ref="A34" location="'ADU-61'!A1" display="'ADU-61'!A1"/>
    <hyperlink ref="A36" location="'ADU-7'!A1" display="'ADU-7'!A1"/>
    <hyperlink ref="A37" location="'ADU-8'!A1" display="'ADU-8'!A1"/>
    <hyperlink ref="A38" location="'ADU-9'!A1" display="'ADU-9'!A1"/>
    <hyperlink ref="A39" location="'ADU-10'!A1" display="'ADU-10'!A1"/>
    <hyperlink ref="A40" location="'ADU-110'!A1" display="'ADU-110'!A1"/>
    <hyperlink ref="A41" location="'ADU-111'!A1" display="'ADU-111'!A1"/>
    <hyperlink ref="A42" location="'ADU-112'!A1" display="'ADU-112'!A1"/>
    <hyperlink ref="A43" location="'ADU-113'!A1" display="'ADU-113'!A1"/>
    <hyperlink ref="A45" location="'ADU-12'!A1" display="'ADU-12'!A1"/>
    <hyperlink ref="A46" location="'ADU-13'!A1" display="'ADU-13'!A1"/>
    <hyperlink ref="A48" location="'ADU-14'!A1" display="'ADU-14'!A1"/>
    <hyperlink ref="A49" location="'ADU-15'!A1" display="'ADU-15'!A1"/>
    <hyperlink ref="A50" location="'ADU-16'!A1" display="'ADU-16'!A1"/>
    <hyperlink ref="A51" location="'ADU-17'!A1" display="'ADU-17'!A1"/>
    <hyperlink ref="A52" location="'ADU-18'!A1" display="'ADU-18'!A1"/>
    <hyperlink ref="A53" location="'ADU-19'!A1" display="'ADU-19'!A1"/>
    <hyperlink ref="A54" location="'ADU-20'!A1" display="'ADU-20'!A1"/>
    <hyperlink ref="A55" location="'ADU-21'!A1" display="'ADU-21'!A1"/>
    <hyperlink ref="A56" location="'ADU-22'!A1" display="'ADU-22'!A1"/>
    <hyperlink ref="A57" location="'ADU-23'!A1" display="'ADU-23'!A1"/>
    <hyperlink ref="A58" location="'ADU-24'!A1" display="'ADU-24'!A1"/>
    <hyperlink ref="A59" location="'ADU-25'!A1" display="'ADU-25'!A1"/>
    <hyperlink ref="A60" location="'ADU-26'!A1" display="'ADU-26'!A1"/>
    <hyperlink ref="A62" location="'ADU-27'!A1" display="'ADU-27'!A1"/>
    <hyperlink ref="A63" location="'ADU-28'!A1" display="'ADU-28'!A1"/>
    <hyperlink ref="A64" location="'ADU-29'!A1" display="'ADU-29'!A1"/>
    <hyperlink ref="A65" location="'ADU-30'!A1" display="'ADU-30'!A1"/>
    <hyperlink ref="A66" location="'ADU-31'!A1" display="'ADU-31'!A1"/>
    <hyperlink ref="A68" location="'ADU-32'!A1" display="'ADU-32'!A1"/>
    <hyperlink ref="A69" location="'ADU-33'!A1" display="'ADU-33'!A1"/>
    <hyperlink ref="A73" location="'ADU-34'!A1" display="'ADU-34'!A1"/>
    <hyperlink ref="A75" location="'ADU-35'!A1" display="'ADU-35'!A1"/>
    <hyperlink ref="A82" location="'ADU-37'!A1" display="'ADU-37'!A1"/>
    <hyperlink ref="A84" location="'ADU-38'!A1" display="'ADU-38'!A1"/>
    <hyperlink ref="A87" location="'ADU-39'!A1" display="'ADU-39'!A1"/>
    <hyperlink ref="A88" location="'ADU-40'!A1" display="'ADU-40'!A1"/>
    <hyperlink ref="A13" location="'ADO-12'!A1" display="ADO-12"/>
    <hyperlink ref="A14" location="'ADO-13'!A1" display="ADO-13"/>
    <hyperlink ref="A15" location="'ADO-14'!A1" display="ADO-14"/>
    <hyperlink ref="A16" location="'ADO-15'!A1" display="ADO-15"/>
    <hyperlink ref="A21" location="'ADU-221'!A1" display="ADU-221"/>
    <hyperlink ref="A22" location="'ADU-222'!A1" display="ADU-222"/>
    <hyperlink ref="A25" location="'ADU-41'!A1" display="ADU-41"/>
    <hyperlink ref="A26" location="'ADU-42'!A1" display="ADU-42"/>
    <hyperlink ref="A27" location="'ADU-43'!A1" display="ADU-43"/>
    <hyperlink ref="A44" location="'ADU-114'!A1" display="ADU-114"/>
    <hyperlink ref="A67" location="'ADU-311'!A1" display="ADU-311"/>
    <hyperlink ref="A74" location="'ADU-341'!A1" display="ADU-341"/>
    <hyperlink ref="A77" location="'ADU-361'!A1" display="ADU-361"/>
    <hyperlink ref="A78" location="'ADU-362'!A1" display="ADU-362"/>
    <hyperlink ref="A79" location="'ADU-363'!A1" display="ADU-363"/>
    <hyperlink ref="A80" location="'ADU-364'!A1" display="ADU-364"/>
    <hyperlink ref="A81" location="'ADU-365'!A1" display="ADU-365"/>
    <hyperlink ref="A85" location="'ADU-381'!A1" display="ADU-381"/>
    <hyperlink ref="A28" location="'ADU-44'!A1" display="ADU-44"/>
    <hyperlink ref="A23" location="'ADU-222'!A1" display="ADU-222"/>
    <hyperlink ref="A47" location="'ADU-131'!A1" display="ADU-131"/>
    <hyperlink ref="A61" location="'ADU-261'!A1" display="ADU-261"/>
    <hyperlink ref="A86" location="'ADU-389'!A1" display="ADU-389"/>
    <hyperlink ref="A17" location="'ADO-16'!A1" display="ADO-16"/>
    <hyperlink ref="A18" location="'ADO-17'!A1" display="ADO-17"/>
    <hyperlink ref="A35" location="'ADU-62'!A1" display="ADU-62"/>
    <hyperlink ref="A70" location="'ADU-331'!A1" display="ADU-331"/>
    <hyperlink ref="A71" location="'ADU-332'!A1" display="ADU-332"/>
    <hyperlink ref="A76" location="'ADU-351'!A1" display="ADU-351"/>
    <hyperlink ref="A83" location="'ADU-371'!A1" display="ADU-371"/>
    <hyperlink ref="A30" location="'ADU-51'!A1" display="ADU-51"/>
    <hyperlink ref="A31" location="'ADU-52'!A1" display="ADU-52"/>
    <hyperlink ref="A32" location="'ADU-53'!A1" display="ADU-53"/>
    <hyperlink ref="A72" location="'ADU-333'!A1" display="ADU-333"/>
  </hyperlinks>
  <pageMargins left="0.25" right="0.25" top="0.75" bottom="0.75" header="0.3" footer="0.3"/>
  <pageSetup paperSize="9" scale="35" orientation="landscape" horizontalDpi="300" verticalDpi="30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44"/>
  <sheetViews>
    <sheetView zoomScaleNormal="100" zoomScaleSheetLayoutView="220"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1" ht="21" x14ac:dyDescent="0.35">
      <c r="A1" s="11" t="s">
        <v>87</v>
      </c>
      <c r="B1" s="11"/>
      <c r="C1" s="11"/>
      <c r="D1" s="11"/>
      <c r="E1" s="11"/>
    </row>
    <row r="2" spans="1:11" ht="26.25" x14ac:dyDescent="0.4">
      <c r="A2" s="856" t="s">
        <v>913</v>
      </c>
      <c r="B2" s="856"/>
      <c r="C2" s="856"/>
      <c r="D2" s="856"/>
      <c r="E2" s="856"/>
    </row>
    <row r="3" spans="1:11" ht="27" thickBot="1" x14ac:dyDescent="0.45">
      <c r="A3" s="113"/>
      <c r="B3" s="113"/>
      <c r="C3" s="113"/>
      <c r="D3" s="113"/>
      <c r="E3" s="113"/>
    </row>
    <row r="4" spans="1:11" ht="15.75" thickBot="1" x14ac:dyDescent="0.3">
      <c r="A4" s="12"/>
      <c r="B4" s="233" t="s">
        <v>469</v>
      </c>
      <c r="C4" s="851" t="s">
        <v>39</v>
      </c>
      <c r="D4" s="852"/>
      <c r="E4" s="175" t="s">
        <v>129</v>
      </c>
      <c r="G4" s="848" t="s">
        <v>914</v>
      </c>
      <c r="H4" s="848"/>
      <c r="I4" s="848"/>
    </row>
    <row r="5" spans="1:11" ht="15.75" x14ac:dyDescent="0.25">
      <c r="A5" s="381" t="s">
        <v>651</v>
      </c>
      <c r="B5" s="382" t="s">
        <v>657</v>
      </c>
      <c r="C5" s="820" t="s">
        <v>18</v>
      </c>
      <c r="D5" s="820"/>
      <c r="E5" s="176" t="s">
        <v>22</v>
      </c>
      <c r="G5" s="848" t="s">
        <v>915</v>
      </c>
      <c r="H5" s="848"/>
      <c r="I5" s="848"/>
    </row>
    <row r="6" spans="1:11" ht="16.5" thickBot="1" x14ac:dyDescent="0.3">
      <c r="A6" s="379" t="s">
        <v>660</v>
      </c>
      <c r="B6" s="380" t="s">
        <v>653</v>
      </c>
      <c r="C6" s="16"/>
      <c r="D6" s="16"/>
      <c r="E6" s="16"/>
      <c r="G6" s="850" t="s">
        <v>916</v>
      </c>
      <c r="H6" s="850"/>
      <c r="I6" s="850"/>
    </row>
    <row r="7" spans="1:11" ht="24" customHeight="1" thickBot="1" x14ac:dyDescent="0.3">
      <c r="A7" s="207" t="s">
        <v>1</v>
      </c>
      <c r="B7" s="820" t="s">
        <v>131</v>
      </c>
      <c r="C7" s="820"/>
      <c r="D7" s="820"/>
      <c r="E7" s="820"/>
    </row>
    <row r="8" spans="1:11" ht="24" customHeight="1" thickBot="1" x14ac:dyDescent="0.3">
      <c r="A8" s="207" t="s">
        <v>0</v>
      </c>
      <c r="B8" s="820" t="s">
        <v>131</v>
      </c>
      <c r="C8" s="820"/>
      <c r="D8" s="820"/>
      <c r="E8" s="820"/>
    </row>
    <row r="9" spans="1:11" ht="30" customHeight="1" x14ac:dyDescent="0.25">
      <c r="A9" s="208" t="s">
        <v>2</v>
      </c>
      <c r="B9" s="890" t="s">
        <v>132</v>
      </c>
      <c r="C9" s="889"/>
      <c r="D9" s="889"/>
      <c r="E9" s="889"/>
      <c r="G9" s="116" t="s">
        <v>253</v>
      </c>
      <c r="H9" s="117" t="s">
        <v>254</v>
      </c>
      <c r="I9" s="117" t="s">
        <v>247</v>
      </c>
      <c r="J9" s="117" t="s">
        <v>248</v>
      </c>
      <c r="K9" s="117" t="s">
        <v>249</v>
      </c>
    </row>
    <row r="10" spans="1:11" ht="28.5" customHeight="1" x14ac:dyDescent="0.25">
      <c r="A10" s="208" t="s">
        <v>31</v>
      </c>
      <c r="B10" s="889"/>
      <c r="C10" s="889"/>
      <c r="D10" s="889"/>
      <c r="E10" s="889"/>
      <c r="G10" s="118">
        <v>140</v>
      </c>
      <c r="H10" s="119">
        <v>68.900000000000006</v>
      </c>
      <c r="I10" s="119">
        <v>0.39</v>
      </c>
      <c r="J10" s="119">
        <v>0.53800000000000003</v>
      </c>
      <c r="K10" s="119">
        <v>0.46200000000000002</v>
      </c>
    </row>
    <row r="11" spans="1:11" ht="30" customHeight="1" x14ac:dyDescent="0.25">
      <c r="A11" s="209" t="s">
        <v>16</v>
      </c>
      <c r="B11" s="874" t="s">
        <v>39</v>
      </c>
      <c r="C11" s="874"/>
      <c r="D11" s="874"/>
      <c r="E11" s="874"/>
    </row>
    <row r="12" spans="1:11" ht="30" customHeight="1" x14ac:dyDescent="0.25">
      <c r="A12" s="209" t="s">
        <v>3</v>
      </c>
      <c r="B12" s="874"/>
      <c r="C12" s="874"/>
      <c r="D12" s="874"/>
      <c r="E12" s="874"/>
    </row>
    <row r="13" spans="1:11" ht="30" customHeight="1" x14ac:dyDescent="0.25">
      <c r="A13" s="209" t="s">
        <v>17</v>
      </c>
      <c r="B13" s="874"/>
      <c r="C13" s="874"/>
      <c r="D13" s="874"/>
      <c r="E13" s="874"/>
      <c r="G13" s="117" t="s">
        <v>250</v>
      </c>
      <c r="H13" s="117" t="s">
        <v>251</v>
      </c>
      <c r="I13" s="117" t="s">
        <v>202</v>
      </c>
      <c r="J13" s="117" t="s">
        <v>227</v>
      </c>
    </row>
    <row r="14" spans="1:11" ht="30" customHeight="1" x14ac:dyDescent="0.25">
      <c r="A14" s="209" t="s">
        <v>4</v>
      </c>
      <c r="B14" s="874">
        <v>2014</v>
      </c>
      <c r="C14" s="874"/>
      <c r="D14" s="874"/>
      <c r="E14" s="874"/>
      <c r="G14" s="119">
        <f>B18*J10</f>
        <v>2023923.7200000002</v>
      </c>
      <c r="H14" s="119">
        <f>B18*K10</f>
        <v>1738016.28</v>
      </c>
      <c r="I14" s="119">
        <v>0.26100000000000001</v>
      </c>
      <c r="J14" s="119">
        <v>0.36499999999999999</v>
      </c>
    </row>
    <row r="15" spans="1:11" ht="30" customHeight="1" x14ac:dyDescent="0.25">
      <c r="A15" s="209" t="s">
        <v>5</v>
      </c>
      <c r="B15" s="874">
        <v>2020</v>
      </c>
      <c r="C15" s="874"/>
      <c r="D15" s="874"/>
      <c r="E15" s="874"/>
    </row>
    <row r="16" spans="1:11" ht="30" customHeight="1" x14ac:dyDescent="0.25">
      <c r="A16" s="209" t="s">
        <v>6</v>
      </c>
      <c r="B16" s="845">
        <v>15000000</v>
      </c>
      <c r="C16" s="845"/>
      <c r="D16" s="845"/>
      <c r="E16" s="845"/>
      <c r="G16" s="118" t="s">
        <v>252</v>
      </c>
      <c r="H16" s="118" t="s">
        <v>161</v>
      </c>
      <c r="I16" s="116" t="s">
        <v>450</v>
      </c>
    </row>
    <row r="17" spans="1:9" ht="30" customHeight="1" x14ac:dyDescent="0.25">
      <c r="A17" s="209" t="s">
        <v>7</v>
      </c>
      <c r="B17" s="845">
        <v>7500000</v>
      </c>
      <c r="C17" s="845"/>
      <c r="D17" s="845"/>
      <c r="E17" s="845"/>
      <c r="G17" s="118">
        <v>0.04</v>
      </c>
      <c r="H17" s="118">
        <v>0.86</v>
      </c>
      <c r="I17" s="116">
        <v>65</v>
      </c>
    </row>
    <row r="18" spans="1:9" ht="30" customHeight="1" x14ac:dyDescent="0.25">
      <c r="A18" s="210" t="s">
        <v>468</v>
      </c>
      <c r="B18" s="868">
        <f>B19</f>
        <v>3761940</v>
      </c>
      <c r="C18" s="869"/>
      <c r="D18" s="869"/>
      <c r="E18" s="869"/>
      <c r="G18" s="2"/>
      <c r="H18" s="2"/>
    </row>
    <row r="19" spans="1:9" ht="30" customHeight="1" x14ac:dyDescent="0.25">
      <c r="A19" s="238" t="s">
        <v>467</v>
      </c>
      <c r="B19" s="870">
        <f>H10*G10*I10*1000</f>
        <v>3761940</v>
      </c>
      <c r="C19" s="871"/>
      <c r="D19" s="871"/>
      <c r="E19" s="871"/>
      <c r="G19" s="2"/>
      <c r="H19" s="2"/>
    </row>
    <row r="20" spans="1:9" ht="30" customHeight="1" x14ac:dyDescent="0.25">
      <c r="A20" s="209" t="s">
        <v>8</v>
      </c>
      <c r="B20" s="845">
        <f>G14*G17+H14/10*H17</f>
        <v>230426.34888000001</v>
      </c>
      <c r="C20" s="845"/>
      <c r="D20" s="845"/>
      <c r="E20" s="845"/>
      <c r="G20" s="2"/>
      <c r="H20" s="2"/>
    </row>
    <row r="21" spans="1:9" ht="30" customHeight="1" x14ac:dyDescent="0.25">
      <c r="A21" s="209" t="s">
        <v>9</v>
      </c>
      <c r="B21" s="845">
        <f>B19/1000*I17</f>
        <v>244526.1</v>
      </c>
      <c r="C21" s="845"/>
      <c r="D21" s="845"/>
      <c r="E21" s="845"/>
      <c r="G21" s="2"/>
      <c r="H21" s="2"/>
    </row>
    <row r="22" spans="1:9" ht="30" customHeight="1" x14ac:dyDescent="0.25">
      <c r="A22" s="209" t="s">
        <v>465</v>
      </c>
      <c r="B22" s="846">
        <f>B16/(B20+B21)</f>
        <v>31.582108978218685</v>
      </c>
      <c r="C22" s="846"/>
      <c r="D22" s="846"/>
      <c r="E22" s="846"/>
      <c r="G22" s="2"/>
      <c r="H22" s="2"/>
    </row>
    <row r="23" spans="1:9" ht="30" customHeight="1" x14ac:dyDescent="0.25">
      <c r="A23" s="209" t="s">
        <v>466</v>
      </c>
      <c r="B23" s="847">
        <f>(B16-B17)/(B20+B21)</f>
        <v>15.791054489109342</v>
      </c>
      <c r="C23" s="847"/>
      <c r="D23" s="847"/>
      <c r="E23" s="847"/>
      <c r="G23" s="2"/>
      <c r="H23" s="2"/>
    </row>
    <row r="24" spans="1:9" ht="30" customHeight="1" x14ac:dyDescent="0.25">
      <c r="A24" s="211" t="s">
        <v>476</v>
      </c>
      <c r="B24" s="901">
        <f>(B19*J10*J14+B19*K10*I14)/1000</f>
        <v>1192.3544068800002</v>
      </c>
      <c r="C24" s="901"/>
      <c r="D24" s="901"/>
      <c r="E24" s="901"/>
      <c r="G24" s="2"/>
      <c r="H24" s="2"/>
    </row>
    <row r="25" spans="1:9" ht="30" customHeight="1" x14ac:dyDescent="0.25">
      <c r="A25" s="212" t="s">
        <v>463</v>
      </c>
      <c r="B25" s="881">
        <f>B24/'Objectifs CO2'!C10</f>
        <v>1.7278058525325251</v>
      </c>
      <c r="C25" s="881"/>
      <c r="D25" s="881"/>
      <c r="E25" s="881"/>
      <c r="G25" s="2"/>
      <c r="H25" s="2"/>
    </row>
    <row r="26" spans="1:9" ht="30" customHeight="1" x14ac:dyDescent="0.25">
      <c r="A26" s="213" t="s">
        <v>464</v>
      </c>
      <c r="B26" s="881">
        <f>B24/'Objectifs CO2'!C8</f>
        <v>0.17278058525325252</v>
      </c>
      <c r="C26" s="881"/>
      <c r="D26" s="881"/>
      <c r="E26" s="881"/>
    </row>
    <row r="27" spans="1:9" ht="30" customHeight="1" x14ac:dyDescent="0.25">
      <c r="A27" s="213" t="s">
        <v>24</v>
      </c>
      <c r="B27" s="853"/>
      <c r="C27" s="853"/>
      <c r="D27" s="853"/>
      <c r="E27" s="853"/>
    </row>
    <row r="28" spans="1:9" ht="30" customHeight="1" x14ac:dyDescent="0.25">
      <c r="A28" s="213" t="s">
        <v>418</v>
      </c>
      <c r="B28" s="938" t="s">
        <v>443</v>
      </c>
      <c r="C28" s="939"/>
      <c r="D28" s="939"/>
      <c r="E28" s="940"/>
      <c r="F28" s="37" t="s">
        <v>444</v>
      </c>
    </row>
    <row r="30" spans="1:9" x14ac:dyDescent="0.25">
      <c r="B30" s="867" t="s">
        <v>530</v>
      </c>
      <c r="C30" s="867"/>
      <c r="D30" s="867"/>
      <c r="E30" s="143" t="s">
        <v>538</v>
      </c>
    </row>
    <row r="31" spans="1:9" x14ac:dyDescent="0.25">
      <c r="B31" s="864" t="s">
        <v>521</v>
      </c>
      <c r="C31" s="864"/>
      <c r="D31" s="864"/>
      <c r="E31" s="114"/>
      <c r="G31" s="866" t="s">
        <v>538</v>
      </c>
      <c r="H31" s="866"/>
      <c r="I31" s="866"/>
    </row>
    <row r="32" spans="1:9" x14ac:dyDescent="0.25">
      <c r="B32" s="864" t="s">
        <v>522</v>
      </c>
      <c r="C32" s="864"/>
      <c r="D32" s="864"/>
      <c r="E32" s="114"/>
      <c r="G32" s="252">
        <v>3</v>
      </c>
      <c r="H32" s="866" t="s">
        <v>535</v>
      </c>
      <c r="I32" s="866"/>
    </row>
    <row r="33" spans="2:9" x14ac:dyDescent="0.25">
      <c r="B33" s="864" t="s">
        <v>524</v>
      </c>
      <c r="C33" s="864"/>
      <c r="D33" s="864"/>
      <c r="E33" s="114"/>
      <c r="G33" s="252">
        <v>2</v>
      </c>
      <c r="H33" s="866" t="s">
        <v>536</v>
      </c>
      <c r="I33" s="866"/>
    </row>
    <row r="34" spans="2:9" x14ac:dyDescent="0.25">
      <c r="B34" s="864" t="s">
        <v>523</v>
      </c>
      <c r="C34" s="864"/>
      <c r="D34" s="864"/>
      <c r="E34" s="114"/>
      <c r="G34" s="252">
        <v>1</v>
      </c>
      <c r="H34" s="866" t="s">
        <v>537</v>
      </c>
      <c r="I34" s="866"/>
    </row>
    <row r="35" spans="2:9" x14ac:dyDescent="0.25">
      <c r="B35" s="864" t="s">
        <v>525</v>
      </c>
      <c r="C35" s="864"/>
      <c r="D35" s="864"/>
      <c r="E35" s="114"/>
    </row>
    <row r="36" spans="2:9" x14ac:dyDescent="0.25">
      <c r="B36" s="864" t="s">
        <v>526</v>
      </c>
      <c r="C36" s="864"/>
      <c r="D36" s="864"/>
      <c r="E36" s="114"/>
    </row>
    <row r="37" spans="2:9" x14ac:dyDescent="0.25">
      <c r="B37" s="864" t="s">
        <v>527</v>
      </c>
      <c r="C37" s="864"/>
      <c r="D37" s="864"/>
      <c r="E37" s="114"/>
    </row>
    <row r="38" spans="2:9" x14ac:dyDescent="0.25">
      <c r="B38" s="864" t="s">
        <v>528</v>
      </c>
      <c r="C38" s="864"/>
      <c r="D38" s="864"/>
      <c r="E38" s="114"/>
    </row>
    <row r="39" spans="2:9" x14ac:dyDescent="0.25">
      <c r="B39" s="864" t="s">
        <v>529</v>
      </c>
      <c r="C39" s="864"/>
      <c r="D39" s="864"/>
      <c r="E39" s="114"/>
      <c r="G39" s="863" t="s">
        <v>541</v>
      </c>
      <c r="H39" s="863"/>
      <c r="I39" s="863"/>
    </row>
    <row r="40" spans="2:9" x14ac:dyDescent="0.25">
      <c r="B40" s="865" t="s">
        <v>395</v>
      </c>
      <c r="C40" s="865"/>
      <c r="D40" s="865"/>
      <c r="E40" s="258">
        <f>SUM(E31:E39)</f>
        <v>0</v>
      </c>
      <c r="G40" s="254" t="s">
        <v>542</v>
      </c>
      <c r="H40" s="257" t="s">
        <v>543</v>
      </c>
      <c r="I40" s="254" t="s">
        <v>544</v>
      </c>
    </row>
    <row r="41" spans="2:9" x14ac:dyDescent="0.25">
      <c r="E41" s="202" t="s">
        <v>576</v>
      </c>
      <c r="G41" s="254" t="s">
        <v>545</v>
      </c>
      <c r="H41" s="254" t="s">
        <v>547</v>
      </c>
      <c r="I41" s="254" t="s">
        <v>546</v>
      </c>
    </row>
    <row r="43" spans="2:9" x14ac:dyDescent="0.25">
      <c r="B43" s="860" t="s">
        <v>520</v>
      </c>
      <c r="C43" s="861"/>
      <c r="D43" s="862"/>
      <c r="E43" s="251">
        <v>1</v>
      </c>
      <c r="G43" s="254">
        <v>1</v>
      </c>
      <c r="H43" s="254" t="s">
        <v>539</v>
      </c>
    </row>
    <row r="44" spans="2:9" x14ac:dyDescent="0.25">
      <c r="G44" s="254">
        <v>0</v>
      </c>
      <c r="H44" s="254" t="s">
        <v>540</v>
      </c>
    </row>
  </sheetData>
  <mergeCells count="45">
    <mergeCell ref="G6:I6"/>
    <mergeCell ref="B27:E27"/>
    <mergeCell ref="B19:E19"/>
    <mergeCell ref="B20:E20"/>
    <mergeCell ref="B21:E21"/>
    <mergeCell ref="B22:E22"/>
    <mergeCell ref="B23:E23"/>
    <mergeCell ref="A2:E2"/>
    <mergeCell ref="C5:D5"/>
    <mergeCell ref="B7:E7"/>
    <mergeCell ref="B8:E8"/>
    <mergeCell ref="B9:E9"/>
    <mergeCell ref="C4:D4"/>
    <mergeCell ref="G31:I31"/>
    <mergeCell ref="B32:D32"/>
    <mergeCell ref="H32:I32"/>
    <mergeCell ref="B10:E10"/>
    <mergeCell ref="B14:E14"/>
    <mergeCell ref="B15:E15"/>
    <mergeCell ref="B16:E16"/>
    <mergeCell ref="B17:E17"/>
    <mergeCell ref="B28:E28"/>
    <mergeCell ref="B11:E11"/>
    <mergeCell ref="B12:E12"/>
    <mergeCell ref="B13:E13"/>
    <mergeCell ref="B18:E18"/>
    <mergeCell ref="B24:E24"/>
    <mergeCell ref="B25:E25"/>
    <mergeCell ref="B26:E26"/>
    <mergeCell ref="B43:D43"/>
    <mergeCell ref="G4:I4"/>
    <mergeCell ref="G5:I5"/>
    <mergeCell ref="G39:I39"/>
    <mergeCell ref="B36:D36"/>
    <mergeCell ref="B37:D37"/>
    <mergeCell ref="B38:D38"/>
    <mergeCell ref="B39:D39"/>
    <mergeCell ref="B40:D40"/>
    <mergeCell ref="B33:D33"/>
    <mergeCell ref="H33:I33"/>
    <mergeCell ref="B34:D34"/>
    <mergeCell ref="H34:I34"/>
    <mergeCell ref="B35:D35"/>
    <mergeCell ref="B30:D30"/>
    <mergeCell ref="B31:D31"/>
  </mergeCells>
  <conditionalFormatting sqref="E5">
    <cfRule type="containsText" dxfId="104" priority="1" operator="containsText" text="Terminé">
      <formula>NOT(ISERROR(SEARCH("Terminé",E5)))</formula>
    </cfRule>
    <cfRule type="containsText" dxfId="103" priority="2" operator="containsText" text="En cours">
      <formula>NOT(ISERROR(SEARCH("En cours",E5)))</formula>
    </cfRule>
    <cfRule type="containsText" dxfId="102"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pageSetup paperSize="9" scale="9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44"/>
  <sheetViews>
    <sheetView topLeftCell="B4" zoomScaleNormal="100" zoomScaleSheetLayoutView="220"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1" ht="21" x14ac:dyDescent="0.35">
      <c r="A1" s="11" t="s">
        <v>87</v>
      </c>
      <c r="B1" s="11"/>
      <c r="C1" s="11"/>
      <c r="D1" s="11"/>
      <c r="E1" s="11"/>
    </row>
    <row r="2" spans="1:11" ht="26.25" x14ac:dyDescent="0.4">
      <c r="A2" s="856" t="s">
        <v>913</v>
      </c>
      <c r="B2" s="856"/>
      <c r="C2" s="856"/>
      <c r="D2" s="856"/>
      <c r="E2" s="856"/>
    </row>
    <row r="3" spans="1:11" ht="27" thickBot="1" x14ac:dyDescent="0.45">
      <c r="A3" s="107"/>
      <c r="B3" s="107"/>
      <c r="C3" s="107"/>
      <c r="D3" s="107"/>
      <c r="E3" s="107"/>
    </row>
    <row r="4" spans="1:11" ht="15.75" thickBot="1" x14ac:dyDescent="0.3">
      <c r="A4" s="12"/>
      <c r="B4" s="233" t="s">
        <v>469</v>
      </c>
      <c r="C4" s="851" t="s">
        <v>39</v>
      </c>
      <c r="D4" s="852"/>
      <c r="E4" s="175" t="s">
        <v>130</v>
      </c>
      <c r="G4" s="848" t="s">
        <v>914</v>
      </c>
      <c r="H4" s="848"/>
      <c r="I4" s="848"/>
    </row>
    <row r="5" spans="1:11" ht="15.75" x14ac:dyDescent="0.25">
      <c r="A5" s="381" t="s">
        <v>651</v>
      </c>
      <c r="B5" s="382" t="s">
        <v>50</v>
      </c>
      <c r="C5" s="820" t="s">
        <v>18</v>
      </c>
      <c r="D5" s="820"/>
      <c r="E5" s="232" t="s">
        <v>19</v>
      </c>
      <c r="G5" s="848" t="s">
        <v>915</v>
      </c>
      <c r="H5" s="848"/>
      <c r="I5" s="848"/>
    </row>
    <row r="6" spans="1:11" ht="16.5" thickBot="1" x14ac:dyDescent="0.3">
      <c r="A6" s="379" t="s">
        <v>660</v>
      </c>
      <c r="B6" s="380" t="s">
        <v>658</v>
      </c>
      <c r="C6" s="16"/>
      <c r="D6" s="16"/>
      <c r="E6" s="16"/>
      <c r="G6" s="850" t="s">
        <v>916</v>
      </c>
      <c r="H6" s="850"/>
      <c r="I6" s="850"/>
    </row>
    <row r="7" spans="1:11" ht="24" customHeight="1" thickBot="1" x14ac:dyDescent="0.3">
      <c r="A7" s="207" t="s">
        <v>1</v>
      </c>
      <c r="B7" s="820" t="s">
        <v>38</v>
      </c>
      <c r="C7" s="820"/>
      <c r="D7" s="820"/>
      <c r="E7" s="820"/>
    </row>
    <row r="8" spans="1:11" ht="24" customHeight="1" thickBot="1" x14ac:dyDescent="0.3">
      <c r="A8" s="207" t="s">
        <v>0</v>
      </c>
      <c r="B8" s="820" t="s">
        <v>255</v>
      </c>
      <c r="C8" s="820"/>
      <c r="D8" s="820"/>
      <c r="E8" s="820"/>
    </row>
    <row r="9" spans="1:11" ht="235.5" customHeight="1" x14ac:dyDescent="0.25">
      <c r="A9" s="208" t="s">
        <v>2</v>
      </c>
      <c r="B9" s="890" t="s">
        <v>766</v>
      </c>
      <c r="C9" s="889"/>
      <c r="D9" s="889"/>
      <c r="E9" s="889"/>
    </row>
    <row r="10" spans="1:11" ht="63.75" customHeight="1" x14ac:dyDescent="0.25">
      <c r="A10" s="208" t="s">
        <v>31</v>
      </c>
      <c r="B10" s="949" t="s">
        <v>671</v>
      </c>
      <c r="C10" s="949"/>
      <c r="D10" s="949"/>
      <c r="E10" s="949"/>
      <c r="G10" s="134" t="s">
        <v>256</v>
      </c>
      <c r="H10" s="118" t="s">
        <v>257</v>
      </c>
      <c r="I10" s="134" t="s">
        <v>258</v>
      </c>
      <c r="J10" s="134" t="s">
        <v>259</v>
      </c>
    </row>
    <row r="11" spans="1:11" ht="30" customHeight="1" x14ac:dyDescent="0.25">
      <c r="A11" s="209" t="s">
        <v>16</v>
      </c>
      <c r="B11" s="874" t="s">
        <v>39</v>
      </c>
      <c r="C11" s="874"/>
      <c r="D11" s="874"/>
      <c r="E11" s="874"/>
      <c r="G11" s="134">
        <v>10</v>
      </c>
      <c r="H11" s="118">
        <v>1</v>
      </c>
      <c r="I11" s="134">
        <v>95</v>
      </c>
      <c r="J11" s="134">
        <v>1723</v>
      </c>
    </row>
    <row r="12" spans="1:11" ht="30" customHeight="1" x14ac:dyDescent="0.25">
      <c r="A12" s="209" t="s">
        <v>3</v>
      </c>
      <c r="B12" s="874"/>
      <c r="C12" s="874"/>
      <c r="D12" s="874"/>
      <c r="E12" s="874"/>
    </row>
    <row r="13" spans="1:11" ht="30" customHeight="1" x14ac:dyDescent="0.25">
      <c r="A13" s="209" t="s">
        <v>17</v>
      </c>
      <c r="B13" s="874"/>
      <c r="C13" s="874"/>
      <c r="D13" s="874"/>
      <c r="E13" s="874"/>
      <c r="G13" s="118" t="s">
        <v>260</v>
      </c>
      <c r="H13" s="134" t="s">
        <v>261</v>
      </c>
      <c r="I13" s="134" t="s">
        <v>262</v>
      </c>
      <c r="J13" s="118" t="s">
        <v>263</v>
      </c>
      <c r="K13" s="118" t="s">
        <v>264</v>
      </c>
    </row>
    <row r="14" spans="1:11" ht="30" customHeight="1" x14ac:dyDescent="0.25">
      <c r="A14" s="209" t="s">
        <v>4</v>
      </c>
      <c r="B14" s="874">
        <v>2016</v>
      </c>
      <c r="C14" s="874"/>
      <c r="D14" s="874"/>
      <c r="E14" s="874"/>
      <c r="G14" s="118">
        <v>0.2</v>
      </c>
      <c r="H14" s="134">
        <v>0.26100000000000001</v>
      </c>
      <c r="I14" s="134">
        <v>0.11700000000000001</v>
      </c>
      <c r="J14" s="118">
        <v>1500</v>
      </c>
      <c r="K14" s="118">
        <f>J14/2</f>
        <v>750</v>
      </c>
    </row>
    <row r="15" spans="1:11" ht="30" customHeight="1" x14ac:dyDescent="0.25">
      <c r="A15" s="209" t="s">
        <v>5</v>
      </c>
      <c r="B15" s="874">
        <v>2019</v>
      </c>
      <c r="C15" s="874"/>
      <c r="D15" s="874"/>
      <c r="E15" s="874"/>
    </row>
    <row r="16" spans="1:11" ht="30" customHeight="1" x14ac:dyDescent="0.25">
      <c r="A16" s="209" t="s">
        <v>6</v>
      </c>
      <c r="B16" s="845">
        <v>50000</v>
      </c>
      <c r="C16" s="845"/>
      <c r="D16" s="845"/>
      <c r="E16" s="845"/>
    </row>
    <row r="17" spans="1:9" ht="30" customHeight="1" x14ac:dyDescent="0.25">
      <c r="A17" s="209" t="s">
        <v>7</v>
      </c>
      <c r="B17" s="845">
        <f>B16*0.2</f>
        <v>10000</v>
      </c>
      <c r="C17" s="845"/>
      <c r="D17" s="845"/>
      <c r="E17" s="845"/>
    </row>
    <row r="18" spans="1:9" ht="30" customHeight="1" x14ac:dyDescent="0.25">
      <c r="A18" s="210" t="s">
        <v>468</v>
      </c>
      <c r="B18" s="868">
        <f>(I11*H11/G11*G14+J11*H11/G11*G14)*1000</f>
        <v>36360</v>
      </c>
      <c r="C18" s="869"/>
      <c r="D18" s="869"/>
      <c r="E18" s="869"/>
      <c r="G18" s="2"/>
      <c r="H18" s="2"/>
    </row>
    <row r="19" spans="1:9" ht="30" customHeight="1" x14ac:dyDescent="0.25">
      <c r="A19" s="238" t="s">
        <v>467</v>
      </c>
      <c r="B19" s="870">
        <f>G24*H24</f>
        <v>0</v>
      </c>
      <c r="C19" s="870"/>
      <c r="D19" s="870"/>
      <c r="E19" s="870"/>
    </row>
    <row r="20" spans="1:9" ht="30" customHeight="1" x14ac:dyDescent="0.25">
      <c r="A20" s="209" t="s">
        <v>8</v>
      </c>
      <c r="B20" s="845">
        <f>B18*0.24</f>
        <v>8726.4</v>
      </c>
      <c r="C20" s="845"/>
      <c r="D20" s="845"/>
      <c r="E20" s="845"/>
    </row>
    <row r="21" spans="1:9" ht="30" customHeight="1" x14ac:dyDescent="0.25">
      <c r="A21" s="209" t="s">
        <v>9</v>
      </c>
      <c r="B21" s="845"/>
      <c r="C21" s="845"/>
      <c r="D21" s="845"/>
      <c r="E21" s="845"/>
    </row>
    <row r="22" spans="1:9" ht="30" customHeight="1" x14ac:dyDescent="0.25">
      <c r="A22" s="209" t="s">
        <v>465</v>
      </c>
      <c r="B22" s="846">
        <f>B16/(B20+B21)</f>
        <v>5.7297396406307302</v>
      </c>
      <c r="C22" s="846"/>
      <c r="D22" s="846"/>
      <c r="E22" s="846"/>
    </row>
    <row r="23" spans="1:9" ht="30" customHeight="1" x14ac:dyDescent="0.25">
      <c r="A23" s="209" t="s">
        <v>466</v>
      </c>
      <c r="B23" s="847">
        <f>(B16-B17)/(B20+B21)</f>
        <v>4.5837917125045839</v>
      </c>
      <c r="C23" s="847"/>
      <c r="D23" s="847"/>
      <c r="E23" s="847"/>
    </row>
    <row r="24" spans="1:9" ht="30" customHeight="1" x14ac:dyDescent="0.25">
      <c r="A24" s="211" t="s">
        <v>476</v>
      </c>
      <c r="B24" s="901">
        <f>I11*H11/G11*I14*G14+J11*H11/G11*H14*G14</f>
        <v>9.2163600000000017</v>
      </c>
      <c r="C24" s="901"/>
      <c r="D24" s="901"/>
      <c r="E24" s="901"/>
    </row>
    <row r="25" spans="1:9" ht="30" customHeight="1" x14ac:dyDescent="0.25">
      <c r="A25" s="212" t="s">
        <v>463</v>
      </c>
      <c r="B25" s="881">
        <f>B24/'Objectifs CO2'!C10</f>
        <v>1.3355157371971941E-2</v>
      </c>
      <c r="C25" s="881"/>
      <c r="D25" s="881"/>
      <c r="E25" s="881"/>
      <c r="G25" s="37">
        <f>B18*J20</f>
        <v>0</v>
      </c>
      <c r="H25" s="37">
        <v>0.2009</v>
      </c>
    </row>
    <row r="26" spans="1:9" ht="30" customHeight="1" x14ac:dyDescent="0.25">
      <c r="A26" s="213" t="s">
        <v>464</v>
      </c>
      <c r="B26" s="881">
        <f>B24/'Objectifs CO2'!C8</f>
        <v>1.3355157371971941E-3</v>
      </c>
      <c r="C26" s="881"/>
      <c r="D26" s="881"/>
      <c r="E26" s="881"/>
    </row>
    <row r="27" spans="1:9" ht="30" customHeight="1" x14ac:dyDescent="0.25">
      <c r="A27" s="213" t="s">
        <v>24</v>
      </c>
      <c r="B27" s="853"/>
      <c r="C27" s="853"/>
      <c r="D27" s="853"/>
      <c r="E27" s="853"/>
    </row>
    <row r="28" spans="1:9" ht="30" customHeight="1" x14ac:dyDescent="0.25">
      <c r="A28" s="213" t="s">
        <v>418</v>
      </c>
      <c r="B28" s="853" t="s">
        <v>445</v>
      </c>
      <c r="C28" s="853"/>
      <c r="D28" s="853"/>
      <c r="E28" s="853"/>
      <c r="F28" s="37" t="s">
        <v>427</v>
      </c>
    </row>
    <row r="30" spans="1:9" x14ac:dyDescent="0.25">
      <c r="B30" s="867" t="s">
        <v>530</v>
      </c>
      <c r="C30" s="867"/>
      <c r="D30" s="867"/>
      <c r="E30" s="143" t="s">
        <v>538</v>
      </c>
    </row>
    <row r="31" spans="1:9" x14ac:dyDescent="0.25">
      <c r="B31" s="864" t="s">
        <v>521</v>
      </c>
      <c r="C31" s="864"/>
      <c r="D31" s="864"/>
      <c r="E31" s="114"/>
      <c r="G31" s="866" t="s">
        <v>538</v>
      </c>
      <c r="H31" s="866"/>
      <c r="I31" s="866"/>
    </row>
    <row r="32" spans="1:9" x14ac:dyDescent="0.25">
      <c r="B32" s="864" t="s">
        <v>522</v>
      </c>
      <c r="C32" s="864"/>
      <c r="D32" s="864"/>
      <c r="E32" s="114"/>
      <c r="G32" s="252">
        <v>3</v>
      </c>
      <c r="H32" s="866" t="s">
        <v>535</v>
      </c>
      <c r="I32" s="866"/>
    </row>
    <row r="33" spans="2:9" x14ac:dyDescent="0.25">
      <c r="B33" s="864" t="s">
        <v>524</v>
      </c>
      <c r="C33" s="864"/>
      <c r="D33" s="864"/>
      <c r="E33" s="114"/>
      <c r="G33" s="252">
        <v>2</v>
      </c>
      <c r="H33" s="866" t="s">
        <v>536</v>
      </c>
      <c r="I33" s="866"/>
    </row>
    <row r="34" spans="2:9" x14ac:dyDescent="0.25">
      <c r="B34" s="864" t="s">
        <v>523</v>
      </c>
      <c r="C34" s="864"/>
      <c r="D34" s="864"/>
      <c r="E34" s="114"/>
      <c r="G34" s="252">
        <v>1</v>
      </c>
      <c r="H34" s="866" t="s">
        <v>537</v>
      </c>
      <c r="I34" s="866"/>
    </row>
    <row r="35" spans="2:9" x14ac:dyDescent="0.25">
      <c r="B35" s="864" t="s">
        <v>525</v>
      </c>
      <c r="C35" s="864"/>
      <c r="D35" s="864"/>
      <c r="E35" s="114"/>
    </row>
    <row r="36" spans="2:9" x14ac:dyDescent="0.25">
      <c r="B36" s="864" t="s">
        <v>526</v>
      </c>
      <c r="C36" s="864"/>
      <c r="D36" s="864"/>
      <c r="E36" s="114"/>
    </row>
    <row r="37" spans="2:9" x14ac:dyDescent="0.25">
      <c r="B37" s="864" t="s">
        <v>527</v>
      </c>
      <c r="C37" s="864"/>
      <c r="D37" s="864"/>
      <c r="E37" s="114"/>
    </row>
    <row r="38" spans="2:9" x14ac:dyDescent="0.25">
      <c r="B38" s="864" t="s">
        <v>528</v>
      </c>
      <c r="C38" s="864"/>
      <c r="D38" s="864"/>
      <c r="E38" s="114"/>
    </row>
    <row r="39" spans="2:9" x14ac:dyDescent="0.25">
      <c r="B39" s="864" t="s">
        <v>529</v>
      </c>
      <c r="C39" s="864"/>
      <c r="D39" s="864"/>
      <c r="E39" s="114"/>
      <c r="G39" s="863" t="s">
        <v>541</v>
      </c>
      <c r="H39" s="863"/>
      <c r="I39" s="863"/>
    </row>
    <row r="40" spans="2:9" x14ac:dyDescent="0.25">
      <c r="B40" s="865" t="s">
        <v>395</v>
      </c>
      <c r="C40" s="865"/>
      <c r="D40" s="865"/>
      <c r="E40" s="258">
        <f>SUM(E31:E39)</f>
        <v>0</v>
      </c>
      <c r="G40" s="254" t="s">
        <v>542</v>
      </c>
      <c r="H40" s="257" t="s">
        <v>543</v>
      </c>
      <c r="I40" s="254" t="s">
        <v>544</v>
      </c>
    </row>
    <row r="41" spans="2:9" x14ac:dyDescent="0.25">
      <c r="E41" s="202" t="s">
        <v>576</v>
      </c>
      <c r="G41" s="254" t="s">
        <v>545</v>
      </c>
      <c r="H41" s="254" t="s">
        <v>547</v>
      </c>
      <c r="I41" s="254" t="s">
        <v>546</v>
      </c>
    </row>
    <row r="43" spans="2:9" x14ac:dyDescent="0.25">
      <c r="B43" s="860" t="s">
        <v>520</v>
      </c>
      <c r="C43" s="861"/>
      <c r="D43" s="862"/>
      <c r="E43" s="251">
        <v>1</v>
      </c>
      <c r="G43" s="254">
        <v>1</v>
      </c>
      <c r="H43" s="254" t="s">
        <v>539</v>
      </c>
    </row>
    <row r="44" spans="2:9" x14ac:dyDescent="0.25">
      <c r="G44" s="254">
        <v>0</v>
      </c>
      <c r="H44" s="254" t="s">
        <v>540</v>
      </c>
    </row>
  </sheetData>
  <mergeCells count="45">
    <mergeCell ref="G6:I6"/>
    <mergeCell ref="B16:E16"/>
    <mergeCell ref="B17:E17"/>
    <mergeCell ref="B15:E15"/>
    <mergeCell ref="A2:E2"/>
    <mergeCell ref="C5:D5"/>
    <mergeCell ref="B7:E7"/>
    <mergeCell ref="B8:E8"/>
    <mergeCell ref="B9:E9"/>
    <mergeCell ref="B10:E10"/>
    <mergeCell ref="B11:E11"/>
    <mergeCell ref="B12:E12"/>
    <mergeCell ref="B13:E13"/>
    <mergeCell ref="B14:E14"/>
    <mergeCell ref="C4:D4"/>
    <mergeCell ref="B18:E18"/>
    <mergeCell ref="B19:E19"/>
    <mergeCell ref="B20:E20"/>
    <mergeCell ref="B21:E21"/>
    <mergeCell ref="B22:E22"/>
    <mergeCell ref="G31:I31"/>
    <mergeCell ref="B32:D32"/>
    <mergeCell ref="H32:I32"/>
    <mergeCell ref="B23:E23"/>
    <mergeCell ref="B24:E24"/>
    <mergeCell ref="B25:E25"/>
    <mergeCell ref="B28:E28"/>
    <mergeCell ref="B27:E27"/>
    <mergeCell ref="B26:E26"/>
    <mergeCell ref="B43:D43"/>
    <mergeCell ref="G4:I4"/>
    <mergeCell ref="G5:I5"/>
    <mergeCell ref="G39:I39"/>
    <mergeCell ref="B36:D36"/>
    <mergeCell ref="B37:D37"/>
    <mergeCell ref="B38:D38"/>
    <mergeCell ref="B39:D39"/>
    <mergeCell ref="B40:D40"/>
    <mergeCell ref="B33:D33"/>
    <mergeCell ref="H33:I33"/>
    <mergeCell ref="B34:D34"/>
    <mergeCell ref="H34:I34"/>
    <mergeCell ref="B35:D35"/>
    <mergeCell ref="B30:D30"/>
    <mergeCell ref="B31:D31"/>
  </mergeCells>
  <conditionalFormatting sqref="E5">
    <cfRule type="containsText" dxfId="101" priority="1" operator="containsText" text="Terminé">
      <formula>NOT(ISERROR(SEARCH("Terminé",E5)))</formula>
    </cfRule>
    <cfRule type="containsText" dxfId="100" priority="2" operator="containsText" text="En cours">
      <formula>NOT(ISERROR(SEARCH("En cours",E5)))</formula>
    </cfRule>
    <cfRule type="containsText" dxfId="99"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pageSetup paperSize="9" scale="74"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4"/>
  <sheetViews>
    <sheetView topLeftCell="A4" zoomScaleNormal="100" zoomScaleSheetLayoutView="160"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2" ht="21" x14ac:dyDescent="0.35">
      <c r="A1" s="11" t="s">
        <v>87</v>
      </c>
      <c r="B1" s="11"/>
      <c r="C1" s="11"/>
      <c r="D1" s="11"/>
      <c r="E1" s="11"/>
    </row>
    <row r="2" spans="1:12" ht="26.25" x14ac:dyDescent="0.4">
      <c r="A2" s="856" t="s">
        <v>913</v>
      </c>
      <c r="B2" s="856"/>
      <c r="C2" s="856"/>
      <c r="D2" s="856"/>
      <c r="E2" s="856"/>
    </row>
    <row r="3" spans="1:12" ht="27" thickBot="1" x14ac:dyDescent="0.45">
      <c r="A3" s="107"/>
      <c r="B3" s="107"/>
      <c r="C3" s="107"/>
      <c r="D3" s="107"/>
      <c r="E3" s="107"/>
    </row>
    <row r="4" spans="1:12" ht="15.75" thickBot="1" x14ac:dyDescent="0.3">
      <c r="A4" s="12"/>
      <c r="B4" s="233" t="s">
        <v>469</v>
      </c>
      <c r="C4" s="851" t="s">
        <v>61</v>
      </c>
      <c r="D4" s="852"/>
      <c r="E4" s="175" t="s">
        <v>275</v>
      </c>
      <c r="G4" s="848" t="s">
        <v>914</v>
      </c>
      <c r="H4" s="848"/>
      <c r="I4" s="848"/>
    </row>
    <row r="5" spans="1:12" ht="15.75" x14ac:dyDescent="0.25">
      <c r="A5" s="381" t="s">
        <v>651</v>
      </c>
      <c r="B5" s="382" t="s">
        <v>50</v>
      </c>
      <c r="C5" s="820" t="s">
        <v>18</v>
      </c>
      <c r="D5" s="820"/>
      <c r="E5" s="232" t="s">
        <v>19</v>
      </c>
      <c r="G5" s="848" t="s">
        <v>915</v>
      </c>
      <c r="H5" s="848"/>
      <c r="I5" s="848"/>
    </row>
    <row r="6" spans="1:12" ht="16.5" thickBot="1" x14ac:dyDescent="0.3">
      <c r="A6" s="379" t="s">
        <v>660</v>
      </c>
      <c r="B6" s="380" t="s">
        <v>658</v>
      </c>
      <c r="C6" s="16"/>
      <c r="D6" s="16"/>
      <c r="E6" s="16"/>
      <c r="G6" s="850" t="s">
        <v>916</v>
      </c>
      <c r="H6" s="850"/>
      <c r="I6" s="850"/>
    </row>
    <row r="7" spans="1:12" ht="24" customHeight="1" thickBot="1" x14ac:dyDescent="0.3">
      <c r="A7" s="207" t="s">
        <v>1</v>
      </c>
      <c r="B7" s="820" t="s">
        <v>265</v>
      </c>
      <c r="C7" s="820"/>
      <c r="D7" s="820"/>
      <c r="E7" s="820"/>
    </row>
    <row r="8" spans="1:12" ht="24" customHeight="1" thickBot="1" x14ac:dyDescent="0.3">
      <c r="A8" s="207" t="s">
        <v>0</v>
      </c>
      <c r="B8" s="820" t="s">
        <v>266</v>
      </c>
      <c r="C8" s="820"/>
      <c r="D8" s="820"/>
      <c r="E8" s="820"/>
      <c r="G8" s="37" t="s">
        <v>76</v>
      </c>
    </row>
    <row r="9" spans="1:12" ht="15.75" x14ac:dyDescent="0.25">
      <c r="A9" s="208" t="s">
        <v>2</v>
      </c>
      <c r="B9" s="890" t="s">
        <v>267</v>
      </c>
      <c r="C9" s="889"/>
      <c r="D9" s="889"/>
      <c r="E9" s="889"/>
      <c r="G9" s="127" t="s">
        <v>268</v>
      </c>
      <c r="H9" s="127" t="s">
        <v>269</v>
      </c>
      <c r="I9" s="126" t="s">
        <v>270</v>
      </c>
      <c r="J9" s="126" t="s">
        <v>271</v>
      </c>
      <c r="K9" s="127" t="s">
        <v>160</v>
      </c>
      <c r="L9" s="127" t="s">
        <v>272</v>
      </c>
    </row>
    <row r="10" spans="1:12" ht="33" customHeight="1" x14ac:dyDescent="0.25">
      <c r="A10" s="208" t="s">
        <v>31</v>
      </c>
      <c r="B10" s="890" t="s">
        <v>273</v>
      </c>
      <c r="C10" s="889"/>
      <c r="D10" s="889"/>
      <c r="E10" s="889"/>
      <c r="G10" s="127">
        <v>3085</v>
      </c>
      <c r="H10" s="127">
        <v>3712</v>
      </c>
      <c r="I10" s="126">
        <v>0.25</v>
      </c>
      <c r="J10" s="126">
        <v>0.25</v>
      </c>
      <c r="K10" s="127">
        <v>0.26100000000000001</v>
      </c>
      <c r="L10" s="127">
        <v>0.11700000000000001</v>
      </c>
    </row>
    <row r="11" spans="1:12" ht="30" customHeight="1" x14ac:dyDescent="0.25">
      <c r="A11" s="209" t="s">
        <v>16</v>
      </c>
      <c r="B11" s="874" t="s">
        <v>61</v>
      </c>
      <c r="C11" s="874"/>
      <c r="D11" s="874"/>
      <c r="E11" s="874"/>
    </row>
    <row r="12" spans="1:12" ht="30" customHeight="1" x14ac:dyDescent="0.25">
      <c r="A12" s="209" t="s">
        <v>3</v>
      </c>
      <c r="B12" s="874"/>
      <c r="C12" s="874"/>
      <c r="D12" s="874"/>
      <c r="E12" s="874"/>
    </row>
    <row r="13" spans="1:12" ht="30" customHeight="1" x14ac:dyDescent="0.25">
      <c r="A13" s="209" t="s">
        <v>17</v>
      </c>
      <c r="B13" s="874"/>
      <c r="C13" s="874"/>
      <c r="D13" s="874"/>
      <c r="E13" s="874"/>
      <c r="G13" s="118" t="s">
        <v>274</v>
      </c>
      <c r="H13" s="118" t="s">
        <v>161</v>
      </c>
    </row>
    <row r="14" spans="1:12" ht="30" customHeight="1" x14ac:dyDescent="0.25">
      <c r="A14" s="209" t="s">
        <v>4</v>
      </c>
      <c r="B14" s="874">
        <v>2016</v>
      </c>
      <c r="C14" s="874"/>
      <c r="D14" s="874"/>
      <c r="E14" s="874"/>
      <c r="G14" s="118">
        <v>0.14000000000000001</v>
      </c>
      <c r="H14" s="118">
        <v>0.7</v>
      </c>
    </row>
    <row r="15" spans="1:12" ht="30" customHeight="1" x14ac:dyDescent="0.25">
      <c r="A15" s="209" t="s">
        <v>5</v>
      </c>
      <c r="B15" s="874">
        <v>2019</v>
      </c>
      <c r="C15" s="874"/>
      <c r="D15" s="874"/>
      <c r="E15" s="874"/>
    </row>
    <row r="16" spans="1:12" ht="30" customHeight="1" x14ac:dyDescent="0.25">
      <c r="A16" s="209" t="s">
        <v>6</v>
      </c>
      <c r="B16" s="859">
        <v>300000</v>
      </c>
      <c r="C16" s="859"/>
      <c r="D16" s="859"/>
      <c r="E16" s="859"/>
    </row>
    <row r="17" spans="1:9" ht="30" customHeight="1" x14ac:dyDescent="0.25">
      <c r="A17" s="209" t="s">
        <v>7</v>
      </c>
      <c r="B17" s="859">
        <f>B16*0.3</f>
        <v>90000</v>
      </c>
      <c r="C17" s="859"/>
      <c r="D17" s="859"/>
      <c r="E17" s="859"/>
    </row>
    <row r="18" spans="1:9" ht="30" customHeight="1" x14ac:dyDescent="0.25">
      <c r="A18" s="210" t="s">
        <v>468</v>
      </c>
      <c r="B18" s="868">
        <f>(G10+H10)*I10*J10*1000</f>
        <v>424812.5</v>
      </c>
      <c r="C18" s="869"/>
      <c r="D18" s="869"/>
      <c r="E18" s="869"/>
      <c r="G18" s="2"/>
      <c r="H18" s="2"/>
    </row>
    <row r="19" spans="1:9" ht="30" customHeight="1" x14ac:dyDescent="0.25">
      <c r="A19" s="238" t="s">
        <v>467</v>
      </c>
      <c r="B19" s="870">
        <f>L10*H24</f>
        <v>0</v>
      </c>
      <c r="C19" s="871"/>
      <c r="D19" s="871"/>
      <c r="E19" s="871"/>
    </row>
    <row r="20" spans="1:9" ht="30" customHeight="1" x14ac:dyDescent="0.25">
      <c r="A20" s="209" t="s">
        <v>8</v>
      </c>
      <c r="B20" s="845">
        <f>B18/2*G14+B18/2/10*H14</f>
        <v>44605.3125</v>
      </c>
      <c r="C20" s="845"/>
      <c r="D20" s="845"/>
      <c r="E20" s="845"/>
    </row>
    <row r="21" spans="1:9" ht="30" customHeight="1" x14ac:dyDescent="0.25">
      <c r="A21" s="209" t="s">
        <v>9</v>
      </c>
      <c r="B21" s="845"/>
      <c r="C21" s="845"/>
      <c r="D21" s="845"/>
      <c r="E21" s="845"/>
    </row>
    <row r="22" spans="1:9" ht="30" customHeight="1" x14ac:dyDescent="0.25">
      <c r="A22" s="209" t="s">
        <v>465</v>
      </c>
      <c r="B22" s="846">
        <f>B16/(B20+B21)</f>
        <v>6.7256562769288974</v>
      </c>
      <c r="C22" s="846"/>
      <c r="D22" s="846"/>
      <c r="E22" s="846"/>
    </row>
    <row r="23" spans="1:9" ht="30" customHeight="1" x14ac:dyDescent="0.25">
      <c r="A23" s="209" t="s">
        <v>466</v>
      </c>
      <c r="B23" s="847">
        <f>(B16-B17)/(B20+B21)</f>
        <v>4.7079593938502278</v>
      </c>
      <c r="C23" s="847"/>
      <c r="D23" s="847"/>
      <c r="E23" s="847"/>
    </row>
    <row r="24" spans="1:9" ht="30" customHeight="1" x14ac:dyDescent="0.25">
      <c r="A24" s="211" t="s">
        <v>476</v>
      </c>
      <c r="B24" s="901">
        <f>G10*I10*J10*L10+H10*I10*J10*K10</f>
        <v>83.111062500000003</v>
      </c>
      <c r="C24" s="901"/>
      <c r="D24" s="901"/>
      <c r="E24" s="901"/>
    </row>
    <row r="25" spans="1:9" ht="30" customHeight="1" x14ac:dyDescent="0.25">
      <c r="A25" s="212" t="s">
        <v>463</v>
      </c>
      <c r="B25" s="881">
        <f>B24/'Objectifs CO2'!C11</f>
        <v>0.12043380673490353</v>
      </c>
      <c r="C25" s="881"/>
      <c r="D25" s="881"/>
      <c r="E25" s="881"/>
    </row>
    <row r="26" spans="1:9" ht="30" customHeight="1" x14ac:dyDescent="0.25">
      <c r="A26" s="213" t="s">
        <v>464</v>
      </c>
      <c r="B26" s="881">
        <f>B24/'Objectifs CO2'!C8</f>
        <v>1.2043380673490355E-2</v>
      </c>
      <c r="C26" s="881"/>
      <c r="D26" s="881"/>
      <c r="E26" s="881"/>
    </row>
    <row r="27" spans="1:9" ht="30" customHeight="1" x14ac:dyDescent="0.25">
      <c r="A27" s="213" t="s">
        <v>24</v>
      </c>
      <c r="B27" s="853"/>
      <c r="C27" s="853"/>
      <c r="D27" s="853"/>
      <c r="E27" s="853"/>
    </row>
    <row r="28" spans="1:9" ht="30" customHeight="1" x14ac:dyDescent="0.25">
      <c r="A28" s="213" t="s">
        <v>418</v>
      </c>
      <c r="B28" s="858" t="s">
        <v>446</v>
      </c>
      <c r="C28" s="858"/>
      <c r="D28" s="858"/>
      <c r="E28" s="858"/>
      <c r="F28" s="37" t="s">
        <v>427</v>
      </c>
    </row>
    <row r="30" spans="1:9" x14ac:dyDescent="0.25">
      <c r="B30" s="867" t="s">
        <v>530</v>
      </c>
      <c r="C30" s="867"/>
      <c r="D30" s="867"/>
      <c r="E30" s="143" t="s">
        <v>538</v>
      </c>
    </row>
    <row r="31" spans="1:9" x14ac:dyDescent="0.25">
      <c r="B31" s="864" t="s">
        <v>521</v>
      </c>
      <c r="C31" s="864"/>
      <c r="D31" s="864"/>
      <c r="E31" s="114"/>
      <c r="G31" s="866" t="s">
        <v>538</v>
      </c>
      <c r="H31" s="866"/>
      <c r="I31" s="866"/>
    </row>
    <row r="32" spans="1:9" x14ac:dyDescent="0.25">
      <c r="B32" s="864" t="s">
        <v>522</v>
      </c>
      <c r="C32" s="864"/>
      <c r="D32" s="864"/>
      <c r="E32" s="114"/>
      <c r="G32" s="252">
        <v>3</v>
      </c>
      <c r="H32" s="866" t="s">
        <v>535</v>
      </c>
      <c r="I32" s="866"/>
    </row>
    <row r="33" spans="2:9" x14ac:dyDescent="0.25">
      <c r="B33" s="864" t="s">
        <v>524</v>
      </c>
      <c r="C33" s="864"/>
      <c r="D33" s="864"/>
      <c r="E33" s="114"/>
      <c r="G33" s="252">
        <v>2</v>
      </c>
      <c r="H33" s="866" t="s">
        <v>536</v>
      </c>
      <c r="I33" s="866"/>
    </row>
    <row r="34" spans="2:9" x14ac:dyDescent="0.25">
      <c r="B34" s="864" t="s">
        <v>523</v>
      </c>
      <c r="C34" s="864"/>
      <c r="D34" s="864"/>
      <c r="E34" s="114"/>
      <c r="G34" s="252">
        <v>1</v>
      </c>
      <c r="H34" s="866" t="s">
        <v>537</v>
      </c>
      <c r="I34" s="866"/>
    </row>
    <row r="35" spans="2:9" x14ac:dyDescent="0.25">
      <c r="B35" s="864" t="s">
        <v>525</v>
      </c>
      <c r="C35" s="864"/>
      <c r="D35" s="864"/>
      <c r="E35" s="114"/>
    </row>
    <row r="36" spans="2:9" x14ac:dyDescent="0.25">
      <c r="B36" s="864" t="s">
        <v>526</v>
      </c>
      <c r="C36" s="864"/>
      <c r="D36" s="864"/>
      <c r="E36" s="114"/>
    </row>
    <row r="37" spans="2:9" x14ac:dyDescent="0.25">
      <c r="B37" s="864" t="s">
        <v>527</v>
      </c>
      <c r="C37" s="864"/>
      <c r="D37" s="864"/>
      <c r="E37" s="114"/>
    </row>
    <row r="38" spans="2:9" x14ac:dyDescent="0.25">
      <c r="B38" s="864" t="s">
        <v>528</v>
      </c>
      <c r="C38" s="864"/>
      <c r="D38" s="864"/>
      <c r="E38" s="114"/>
    </row>
    <row r="39" spans="2:9" x14ac:dyDescent="0.25">
      <c r="B39" s="864" t="s">
        <v>529</v>
      </c>
      <c r="C39" s="864"/>
      <c r="D39" s="864"/>
      <c r="E39" s="114"/>
      <c r="G39" s="863" t="s">
        <v>541</v>
      </c>
      <c r="H39" s="863"/>
      <c r="I39" s="863"/>
    </row>
    <row r="40" spans="2:9" x14ac:dyDescent="0.25">
      <c r="B40" s="865" t="s">
        <v>395</v>
      </c>
      <c r="C40" s="865"/>
      <c r="D40" s="865"/>
      <c r="E40" s="258">
        <f>SUM(E31:E39)</f>
        <v>0</v>
      </c>
      <c r="G40" s="254" t="s">
        <v>542</v>
      </c>
      <c r="H40" s="257" t="s">
        <v>543</v>
      </c>
      <c r="I40" s="254" t="s">
        <v>544</v>
      </c>
    </row>
    <row r="41" spans="2:9" x14ac:dyDescent="0.25">
      <c r="E41" s="202" t="s">
        <v>576</v>
      </c>
      <c r="G41" s="254" t="s">
        <v>545</v>
      </c>
      <c r="H41" s="254" t="s">
        <v>547</v>
      </c>
      <c r="I41" s="254" t="s">
        <v>546</v>
      </c>
    </row>
    <row r="43" spans="2:9" x14ac:dyDescent="0.25">
      <c r="B43" s="860" t="s">
        <v>520</v>
      </c>
      <c r="C43" s="861"/>
      <c r="D43" s="862"/>
      <c r="E43" s="251">
        <v>1</v>
      </c>
      <c r="G43" s="254">
        <v>1</v>
      </c>
      <c r="H43" s="254" t="s">
        <v>539</v>
      </c>
    </row>
    <row r="44" spans="2:9" x14ac:dyDescent="0.25">
      <c r="G44" s="254">
        <v>0</v>
      </c>
      <c r="H44" s="254" t="s">
        <v>540</v>
      </c>
    </row>
  </sheetData>
  <mergeCells count="45">
    <mergeCell ref="G6:I6"/>
    <mergeCell ref="B16:E16"/>
    <mergeCell ref="B17:E17"/>
    <mergeCell ref="B15:E15"/>
    <mergeCell ref="A2:E2"/>
    <mergeCell ref="C5:D5"/>
    <mergeCell ref="B7:E7"/>
    <mergeCell ref="B8:E8"/>
    <mergeCell ref="B9:E9"/>
    <mergeCell ref="B10:E10"/>
    <mergeCell ref="B11:E11"/>
    <mergeCell ref="B12:E12"/>
    <mergeCell ref="B13:E13"/>
    <mergeCell ref="B14:E14"/>
    <mergeCell ref="C4:D4"/>
    <mergeCell ref="B18:E18"/>
    <mergeCell ref="B19:E19"/>
    <mergeCell ref="B20:E20"/>
    <mergeCell ref="B21:E21"/>
    <mergeCell ref="B22:E22"/>
    <mergeCell ref="G31:I31"/>
    <mergeCell ref="B32:D32"/>
    <mergeCell ref="H32:I32"/>
    <mergeCell ref="B23:E23"/>
    <mergeCell ref="B24:E24"/>
    <mergeCell ref="B25:E25"/>
    <mergeCell ref="B28:E28"/>
    <mergeCell ref="B27:E27"/>
    <mergeCell ref="B26:E26"/>
    <mergeCell ref="B43:D43"/>
    <mergeCell ref="G4:I4"/>
    <mergeCell ref="G5:I5"/>
    <mergeCell ref="G39:I39"/>
    <mergeCell ref="B36:D36"/>
    <mergeCell ref="B37:D37"/>
    <mergeCell ref="B38:D38"/>
    <mergeCell ref="B39:D39"/>
    <mergeCell ref="B40:D40"/>
    <mergeCell ref="B33:D33"/>
    <mergeCell ref="H33:I33"/>
    <mergeCell ref="B34:D34"/>
    <mergeCell ref="H34:I34"/>
    <mergeCell ref="B35:D35"/>
    <mergeCell ref="B30:D30"/>
    <mergeCell ref="B31:D31"/>
  </mergeCells>
  <conditionalFormatting sqref="E5">
    <cfRule type="containsText" dxfId="98" priority="1" operator="containsText" text="Terminé">
      <formula>NOT(ISERROR(SEARCH("Terminé",E5)))</formula>
    </cfRule>
    <cfRule type="containsText" dxfId="97" priority="2" operator="containsText" text="En cours">
      <formula>NOT(ISERROR(SEARCH("En cours",E5)))</formula>
    </cfRule>
    <cfRule type="containsText" dxfId="96"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pageSetup paperSize="9" scale="9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4"/>
  <sheetViews>
    <sheetView zoomScaleNormal="100" zoomScaleSheetLayoutView="112"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2" ht="21" x14ac:dyDescent="0.35">
      <c r="A1" s="11" t="s">
        <v>87</v>
      </c>
      <c r="B1" s="11"/>
      <c r="C1" s="11"/>
      <c r="D1" s="11"/>
      <c r="E1" s="11"/>
    </row>
    <row r="2" spans="1:12" ht="26.25" x14ac:dyDescent="0.4">
      <c r="A2" s="856" t="s">
        <v>913</v>
      </c>
      <c r="B2" s="856"/>
      <c r="C2" s="856"/>
      <c r="D2" s="856"/>
      <c r="E2" s="856"/>
    </row>
    <row r="3" spans="1:12" ht="27" thickBot="1" x14ac:dyDescent="0.45">
      <c r="A3" s="398"/>
      <c r="B3" s="398"/>
      <c r="C3" s="398"/>
      <c r="D3" s="398"/>
      <c r="E3" s="398"/>
    </row>
    <row r="4" spans="1:12" ht="15.75" thickBot="1" x14ac:dyDescent="0.3">
      <c r="A4" s="12"/>
      <c r="B4" s="233" t="s">
        <v>469</v>
      </c>
      <c r="C4" s="851" t="s">
        <v>41</v>
      </c>
      <c r="D4" s="852"/>
      <c r="E4" s="175" t="s">
        <v>793</v>
      </c>
      <c r="G4" s="848" t="s">
        <v>914</v>
      </c>
      <c r="H4" s="848"/>
      <c r="I4" s="848"/>
    </row>
    <row r="5" spans="1:12" ht="15.75" x14ac:dyDescent="0.25">
      <c r="A5" s="381" t="s">
        <v>651</v>
      </c>
      <c r="B5" s="382" t="s">
        <v>50</v>
      </c>
      <c r="C5" s="820" t="s">
        <v>18</v>
      </c>
      <c r="D5" s="820"/>
      <c r="E5" s="232" t="s">
        <v>20</v>
      </c>
      <c r="G5" s="848" t="s">
        <v>915</v>
      </c>
      <c r="H5" s="848"/>
      <c r="I5" s="848"/>
    </row>
    <row r="6" spans="1:12" ht="16.5" thickBot="1" x14ac:dyDescent="0.3">
      <c r="A6" s="379" t="s">
        <v>660</v>
      </c>
      <c r="B6" s="380" t="s">
        <v>658</v>
      </c>
      <c r="C6" s="16"/>
      <c r="D6" s="16"/>
      <c r="E6" s="16"/>
      <c r="G6" s="850" t="s">
        <v>916</v>
      </c>
      <c r="H6" s="850"/>
      <c r="I6" s="850"/>
    </row>
    <row r="7" spans="1:12" ht="24" customHeight="1" thickBot="1" x14ac:dyDescent="0.3">
      <c r="A7" s="207" t="s">
        <v>1</v>
      </c>
      <c r="B7" s="820" t="s">
        <v>802</v>
      </c>
      <c r="C7" s="820"/>
      <c r="D7" s="820"/>
      <c r="E7" s="820"/>
    </row>
    <row r="8" spans="1:12" ht="24" customHeight="1" thickBot="1" x14ac:dyDescent="0.3">
      <c r="A8" s="207" t="s">
        <v>0</v>
      </c>
      <c r="B8" s="820" t="s">
        <v>795</v>
      </c>
      <c r="C8" s="820"/>
      <c r="D8" s="820"/>
      <c r="E8" s="820"/>
      <c r="G8" s="37" t="s">
        <v>76</v>
      </c>
    </row>
    <row r="9" spans="1:12" ht="15.75" customHeight="1" x14ac:dyDescent="0.25">
      <c r="A9" s="208" t="s">
        <v>2</v>
      </c>
      <c r="B9" s="890" t="s">
        <v>796</v>
      </c>
      <c r="C9" s="889"/>
      <c r="D9" s="889"/>
      <c r="E9" s="889"/>
      <c r="G9" s="405" t="s">
        <v>268</v>
      </c>
      <c r="H9" s="405" t="s">
        <v>269</v>
      </c>
      <c r="I9" s="406" t="s">
        <v>270</v>
      </c>
      <c r="J9" s="406" t="s">
        <v>271</v>
      </c>
      <c r="K9" s="405" t="s">
        <v>160</v>
      </c>
      <c r="L9" s="405" t="s">
        <v>272</v>
      </c>
    </row>
    <row r="10" spans="1:12" ht="15.75" x14ac:dyDescent="0.25">
      <c r="A10" s="208" t="s">
        <v>31</v>
      </c>
      <c r="B10" s="890"/>
      <c r="C10" s="889"/>
      <c r="D10" s="889"/>
      <c r="E10" s="889"/>
      <c r="G10" s="142">
        <f>('Objectifs CO2'!P31)*1000</f>
        <v>8285.0818320411017</v>
      </c>
      <c r="H10" s="142">
        <f>('Objectifs CO2'!R31)*1000</f>
        <v>9157.4892814925952</v>
      </c>
      <c r="I10" s="406">
        <v>0.2</v>
      </c>
      <c r="J10" s="406">
        <v>0.25</v>
      </c>
      <c r="K10" s="405">
        <v>0.26100000000000001</v>
      </c>
      <c r="L10" s="405">
        <v>0.11700000000000001</v>
      </c>
    </row>
    <row r="11" spans="1:12" ht="30" customHeight="1" x14ac:dyDescent="0.25">
      <c r="A11" s="209" t="s">
        <v>16</v>
      </c>
      <c r="B11" s="874" t="s">
        <v>41</v>
      </c>
      <c r="C11" s="874"/>
      <c r="D11" s="874"/>
      <c r="E11" s="874"/>
    </row>
    <row r="12" spans="1:12" ht="30" customHeight="1" x14ac:dyDescent="0.25">
      <c r="A12" s="209" t="s">
        <v>3</v>
      </c>
      <c r="B12" s="874"/>
      <c r="C12" s="874"/>
      <c r="D12" s="874"/>
      <c r="E12" s="874"/>
    </row>
    <row r="13" spans="1:12" ht="30" customHeight="1" x14ac:dyDescent="0.25">
      <c r="A13" s="209" t="s">
        <v>17</v>
      </c>
      <c r="B13" s="874"/>
      <c r="C13" s="874"/>
      <c r="D13" s="874"/>
      <c r="E13" s="874"/>
      <c r="G13" s="400" t="s">
        <v>274</v>
      </c>
      <c r="H13" s="400" t="s">
        <v>161</v>
      </c>
    </row>
    <row r="14" spans="1:12" ht="30" customHeight="1" x14ac:dyDescent="0.25">
      <c r="A14" s="209" t="s">
        <v>4</v>
      </c>
      <c r="B14" s="874">
        <v>2016</v>
      </c>
      <c r="C14" s="874"/>
      <c r="D14" s="874"/>
      <c r="E14" s="874"/>
      <c r="G14" s="400">
        <v>0.14000000000000001</v>
      </c>
      <c r="H14" s="400">
        <v>0.7</v>
      </c>
    </row>
    <row r="15" spans="1:12" ht="30" customHeight="1" x14ac:dyDescent="0.25">
      <c r="A15" s="209" t="s">
        <v>5</v>
      </c>
      <c r="B15" s="874">
        <v>2020</v>
      </c>
      <c r="C15" s="874"/>
      <c r="D15" s="874"/>
      <c r="E15" s="874"/>
    </row>
    <row r="16" spans="1:12" ht="30" customHeight="1" x14ac:dyDescent="0.25">
      <c r="A16" s="209" t="s">
        <v>6</v>
      </c>
      <c r="B16" s="859">
        <v>20000</v>
      </c>
      <c r="C16" s="859"/>
      <c r="D16" s="859"/>
      <c r="E16" s="859"/>
    </row>
    <row r="17" spans="1:9" ht="30" customHeight="1" x14ac:dyDescent="0.25">
      <c r="A17" s="209" t="s">
        <v>7</v>
      </c>
      <c r="B17" s="859">
        <v>0</v>
      </c>
      <c r="C17" s="859"/>
      <c r="D17" s="859"/>
      <c r="E17" s="859"/>
    </row>
    <row r="18" spans="1:9" ht="30" customHeight="1" x14ac:dyDescent="0.25">
      <c r="A18" s="210" t="s">
        <v>468</v>
      </c>
      <c r="B18" s="868">
        <f>(G10*I10+H10*J10)*1000</f>
        <v>3946388.6867813691</v>
      </c>
      <c r="C18" s="869"/>
      <c r="D18" s="869"/>
      <c r="E18" s="869"/>
      <c r="G18" s="2"/>
      <c r="H18" s="2"/>
    </row>
    <row r="19" spans="1:9" ht="30" customHeight="1" x14ac:dyDescent="0.25">
      <c r="A19" s="238" t="s">
        <v>467</v>
      </c>
      <c r="B19" s="870">
        <f>L10*H24</f>
        <v>0</v>
      </c>
      <c r="C19" s="871"/>
      <c r="D19" s="871"/>
      <c r="E19" s="871"/>
    </row>
    <row r="20" spans="1:9" ht="30" customHeight="1" x14ac:dyDescent="0.25">
      <c r="A20" s="209" t="s">
        <v>8</v>
      </c>
      <c r="B20" s="845">
        <f>(G10*I10*G14+((H10*J10*H14)/100))*1000</f>
        <v>248007.89753976293</v>
      </c>
      <c r="C20" s="845"/>
      <c r="D20" s="845"/>
      <c r="E20" s="845"/>
    </row>
    <row r="21" spans="1:9" ht="30" customHeight="1" x14ac:dyDescent="0.25">
      <c r="A21" s="209" t="s">
        <v>9</v>
      </c>
      <c r="B21" s="845"/>
      <c r="C21" s="845"/>
      <c r="D21" s="845"/>
      <c r="E21" s="845"/>
    </row>
    <row r="22" spans="1:9" ht="30" customHeight="1" x14ac:dyDescent="0.25">
      <c r="A22" s="209" t="s">
        <v>465</v>
      </c>
      <c r="B22" s="846">
        <f>B16/(B20+B21)</f>
        <v>8.0642593233521589E-2</v>
      </c>
      <c r="C22" s="846"/>
      <c r="D22" s="846"/>
      <c r="E22" s="846"/>
    </row>
    <row r="23" spans="1:9" ht="30" customHeight="1" x14ac:dyDescent="0.25">
      <c r="A23" s="209" t="s">
        <v>466</v>
      </c>
      <c r="B23" s="847">
        <f>(B16-B17)/(B20+B21)</f>
        <v>8.0642593233521589E-2</v>
      </c>
      <c r="C23" s="847"/>
      <c r="D23" s="847"/>
      <c r="E23" s="847"/>
    </row>
    <row r="24" spans="1:9" ht="30" customHeight="1" x14ac:dyDescent="0.25">
      <c r="A24" s="211" t="s">
        <v>476</v>
      </c>
      <c r="B24" s="901">
        <f>G10*I10*L10+H10*J10*K10</f>
        <v>791.39709048715372</v>
      </c>
      <c r="C24" s="901"/>
      <c r="D24" s="901"/>
      <c r="E24" s="901"/>
    </row>
    <row r="25" spans="1:9" ht="30" customHeight="1" x14ac:dyDescent="0.25">
      <c r="A25" s="212" t="s">
        <v>463</v>
      </c>
      <c r="B25" s="881">
        <f>B24/'Objectifs CO2'!C13</f>
        <v>5.7339517375496696</v>
      </c>
      <c r="C25" s="881"/>
      <c r="D25" s="881"/>
      <c r="E25" s="881"/>
    </row>
    <row r="26" spans="1:9" ht="30" customHeight="1" x14ac:dyDescent="0.25">
      <c r="A26" s="213" t="s">
        <v>464</v>
      </c>
      <c r="B26" s="881">
        <f>B24/'Objectifs CO2'!C8</f>
        <v>0.11467903475099339</v>
      </c>
      <c r="C26" s="881"/>
      <c r="D26" s="881"/>
      <c r="E26" s="881"/>
    </row>
    <row r="27" spans="1:9" ht="30" customHeight="1" x14ac:dyDescent="0.25">
      <c r="A27" s="213" t="s">
        <v>24</v>
      </c>
      <c r="B27" s="853"/>
      <c r="C27" s="853"/>
      <c r="D27" s="853"/>
      <c r="E27" s="853"/>
    </row>
    <row r="28" spans="1:9" ht="30" customHeight="1" x14ac:dyDescent="0.25">
      <c r="A28" s="213" t="s">
        <v>418</v>
      </c>
      <c r="B28" s="858"/>
      <c r="C28" s="858"/>
      <c r="D28" s="858"/>
      <c r="E28" s="858"/>
    </row>
    <row r="30" spans="1:9" x14ac:dyDescent="0.25">
      <c r="B30" s="867" t="s">
        <v>530</v>
      </c>
      <c r="C30" s="867"/>
      <c r="D30" s="867"/>
      <c r="E30" s="143" t="s">
        <v>538</v>
      </c>
    </row>
    <row r="31" spans="1:9" x14ac:dyDescent="0.25">
      <c r="B31" s="864" t="s">
        <v>521</v>
      </c>
      <c r="C31" s="864"/>
      <c r="D31" s="864"/>
      <c r="E31" s="114"/>
      <c r="G31" s="866" t="s">
        <v>538</v>
      </c>
      <c r="H31" s="866"/>
      <c r="I31" s="866"/>
    </row>
    <row r="32" spans="1:9" x14ac:dyDescent="0.25">
      <c r="B32" s="864" t="s">
        <v>522</v>
      </c>
      <c r="C32" s="864"/>
      <c r="D32" s="864"/>
      <c r="E32" s="114"/>
      <c r="G32" s="252">
        <v>3</v>
      </c>
      <c r="H32" s="866" t="s">
        <v>535</v>
      </c>
      <c r="I32" s="866"/>
    </row>
    <row r="33" spans="2:9" x14ac:dyDescent="0.25">
      <c r="B33" s="864" t="s">
        <v>524</v>
      </c>
      <c r="C33" s="864"/>
      <c r="D33" s="864"/>
      <c r="E33" s="114"/>
      <c r="G33" s="252">
        <v>2</v>
      </c>
      <c r="H33" s="866" t="s">
        <v>536</v>
      </c>
      <c r="I33" s="866"/>
    </row>
    <row r="34" spans="2:9" x14ac:dyDescent="0.25">
      <c r="B34" s="864" t="s">
        <v>523</v>
      </c>
      <c r="C34" s="864"/>
      <c r="D34" s="864"/>
      <c r="E34" s="114"/>
      <c r="G34" s="252">
        <v>1</v>
      </c>
      <c r="H34" s="866" t="s">
        <v>537</v>
      </c>
      <c r="I34" s="866"/>
    </row>
    <row r="35" spans="2:9" x14ac:dyDescent="0.25">
      <c r="B35" s="864" t="s">
        <v>525</v>
      </c>
      <c r="C35" s="864"/>
      <c r="D35" s="864"/>
      <c r="E35" s="114"/>
    </row>
    <row r="36" spans="2:9" x14ac:dyDescent="0.25">
      <c r="B36" s="864" t="s">
        <v>526</v>
      </c>
      <c r="C36" s="864"/>
      <c r="D36" s="864"/>
      <c r="E36" s="114"/>
    </row>
    <row r="37" spans="2:9" x14ac:dyDescent="0.25">
      <c r="B37" s="864" t="s">
        <v>527</v>
      </c>
      <c r="C37" s="864"/>
      <c r="D37" s="864"/>
      <c r="E37" s="114"/>
    </row>
    <row r="38" spans="2:9" x14ac:dyDescent="0.25">
      <c r="B38" s="864" t="s">
        <v>528</v>
      </c>
      <c r="C38" s="864"/>
      <c r="D38" s="864"/>
      <c r="E38" s="114"/>
    </row>
    <row r="39" spans="2:9" x14ac:dyDescent="0.25">
      <c r="B39" s="864" t="s">
        <v>529</v>
      </c>
      <c r="C39" s="864"/>
      <c r="D39" s="864"/>
      <c r="E39" s="114"/>
      <c r="G39" s="863" t="s">
        <v>541</v>
      </c>
      <c r="H39" s="863"/>
      <c r="I39" s="863"/>
    </row>
    <row r="40" spans="2:9" x14ac:dyDescent="0.25">
      <c r="B40" s="865" t="s">
        <v>395</v>
      </c>
      <c r="C40" s="865"/>
      <c r="D40" s="865"/>
      <c r="E40" s="258">
        <f>SUM(E31:E39)</f>
        <v>0</v>
      </c>
      <c r="G40" s="254" t="s">
        <v>542</v>
      </c>
      <c r="H40" s="257" t="s">
        <v>543</v>
      </c>
      <c r="I40" s="254" t="s">
        <v>544</v>
      </c>
    </row>
    <row r="41" spans="2:9" x14ac:dyDescent="0.25">
      <c r="E41" s="202" t="s">
        <v>576</v>
      </c>
      <c r="G41" s="254" t="s">
        <v>545</v>
      </c>
      <c r="H41" s="254" t="s">
        <v>547</v>
      </c>
      <c r="I41" s="254" t="s">
        <v>546</v>
      </c>
    </row>
    <row r="43" spans="2:9" x14ac:dyDescent="0.25">
      <c r="B43" s="860" t="s">
        <v>520</v>
      </c>
      <c r="C43" s="861"/>
      <c r="D43" s="862"/>
      <c r="E43" s="251">
        <v>1</v>
      </c>
      <c r="G43" s="254">
        <v>1</v>
      </c>
      <c r="H43" s="254" t="s">
        <v>539</v>
      </c>
    </row>
    <row r="44" spans="2:9" x14ac:dyDescent="0.25">
      <c r="G44" s="254">
        <v>0</v>
      </c>
      <c r="H44" s="254" t="s">
        <v>540</v>
      </c>
    </row>
  </sheetData>
  <mergeCells count="45">
    <mergeCell ref="B40:D40"/>
    <mergeCell ref="B43:D43"/>
    <mergeCell ref="B35:D35"/>
    <mergeCell ref="B36:D36"/>
    <mergeCell ref="B37:D37"/>
    <mergeCell ref="B38:D38"/>
    <mergeCell ref="B39:D39"/>
    <mergeCell ref="G39:I39"/>
    <mergeCell ref="B32:D32"/>
    <mergeCell ref="H32:I32"/>
    <mergeCell ref="B33:D33"/>
    <mergeCell ref="H33:I33"/>
    <mergeCell ref="B34:D34"/>
    <mergeCell ref="H34:I34"/>
    <mergeCell ref="G31:I31"/>
    <mergeCell ref="B20:E20"/>
    <mergeCell ref="B21:E21"/>
    <mergeCell ref="B22:E22"/>
    <mergeCell ref="B23:E23"/>
    <mergeCell ref="B24:E24"/>
    <mergeCell ref="B25:E25"/>
    <mergeCell ref="B26:E26"/>
    <mergeCell ref="B27:E27"/>
    <mergeCell ref="B28:E28"/>
    <mergeCell ref="B30:D30"/>
    <mergeCell ref="B31:D31"/>
    <mergeCell ref="B19:E19"/>
    <mergeCell ref="B8:E8"/>
    <mergeCell ref="B9:E9"/>
    <mergeCell ref="B10:E10"/>
    <mergeCell ref="B11:E11"/>
    <mergeCell ref="B12:E12"/>
    <mergeCell ref="B13:E13"/>
    <mergeCell ref="B14:E14"/>
    <mergeCell ref="B15:E15"/>
    <mergeCell ref="B16:E16"/>
    <mergeCell ref="B17:E17"/>
    <mergeCell ref="B18:E18"/>
    <mergeCell ref="B7:E7"/>
    <mergeCell ref="A2:E2"/>
    <mergeCell ref="G4:I4"/>
    <mergeCell ref="C5:D5"/>
    <mergeCell ref="G5:I5"/>
    <mergeCell ref="G6:I6"/>
    <mergeCell ref="C4:D4"/>
  </mergeCells>
  <conditionalFormatting sqref="E5">
    <cfRule type="containsText" dxfId="95" priority="1" operator="containsText" text="Terminé">
      <formula>NOT(ISERROR(SEARCH("Terminé",E5)))</formula>
    </cfRule>
    <cfRule type="containsText" dxfId="94" priority="2" operator="containsText" text="En cours">
      <formula>NOT(ISERROR(SEARCH("En cours",E5)))</formula>
    </cfRule>
    <cfRule type="containsText" dxfId="93"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pageSetup paperSize="9" scale="9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CO2'!$R$8:$R$15</xm:f>
          </x14:formula1>
          <xm:sqref>B5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CO2'!$P$8:$P$12</xm:f>
          </x14:formula1>
          <xm:sqref>E5</xm:sqref>
        </x14:dataValidation>
        <x14:dataValidation type="list" allowBlank="1" showInputMessage="1" showErrorMessage="1">
          <x14:formula1>
            <xm:f>'Objectifs CO2'!$U$3:$U$9</xm:f>
          </x14:formula1>
          <xm:sqref>C4:D4</xm:sqref>
        </x14:dataValidation>
      </x14:dataValidations>
    </ext>
  </extLs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4"/>
  <sheetViews>
    <sheetView topLeftCell="B1" zoomScaleNormal="100" zoomScaleSheetLayoutView="220"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0" ht="21" x14ac:dyDescent="0.35">
      <c r="A1" s="11" t="s">
        <v>87</v>
      </c>
      <c r="B1" s="11"/>
      <c r="C1" s="11"/>
      <c r="D1" s="11"/>
      <c r="E1" s="11"/>
    </row>
    <row r="2" spans="1:10" ht="26.25" x14ac:dyDescent="0.4">
      <c r="A2" s="856" t="s">
        <v>913</v>
      </c>
      <c r="B2" s="856"/>
      <c r="C2" s="856"/>
      <c r="D2" s="856"/>
      <c r="E2" s="856"/>
    </row>
    <row r="3" spans="1:10" ht="27" thickBot="1" x14ac:dyDescent="0.45">
      <c r="A3" s="107"/>
      <c r="B3" s="107"/>
      <c r="C3" s="107"/>
      <c r="D3" s="107"/>
      <c r="E3" s="107"/>
    </row>
    <row r="4" spans="1:10" ht="15.75" thickBot="1" x14ac:dyDescent="0.3">
      <c r="A4" s="12"/>
      <c r="B4" s="233" t="s">
        <v>469</v>
      </c>
      <c r="C4" s="851" t="s">
        <v>35</v>
      </c>
      <c r="D4" s="852"/>
      <c r="E4" s="175" t="s">
        <v>276</v>
      </c>
      <c r="G4" s="848" t="s">
        <v>914</v>
      </c>
      <c r="H4" s="848"/>
      <c r="I4" s="848"/>
    </row>
    <row r="5" spans="1:10" ht="15.75" x14ac:dyDescent="0.25">
      <c r="A5" s="381" t="s">
        <v>651</v>
      </c>
      <c r="B5" s="382" t="s">
        <v>50</v>
      </c>
      <c r="C5" s="820" t="s">
        <v>18</v>
      </c>
      <c r="D5" s="820"/>
      <c r="E5" s="232" t="s">
        <v>21</v>
      </c>
      <c r="G5" s="848" t="s">
        <v>915</v>
      </c>
      <c r="H5" s="848"/>
      <c r="I5" s="848"/>
    </row>
    <row r="6" spans="1:10" ht="16.5" thickBot="1" x14ac:dyDescent="0.3">
      <c r="A6" s="379" t="s">
        <v>660</v>
      </c>
      <c r="B6" s="380" t="s">
        <v>784</v>
      </c>
      <c r="C6" s="16"/>
      <c r="D6" s="16"/>
      <c r="E6" s="16"/>
      <c r="G6" s="850" t="s">
        <v>916</v>
      </c>
      <c r="H6" s="850"/>
      <c r="I6" s="850"/>
    </row>
    <row r="7" spans="1:10" ht="24" customHeight="1" thickBot="1" x14ac:dyDescent="0.3">
      <c r="A7" s="207" t="s">
        <v>1</v>
      </c>
      <c r="B7" s="820" t="s">
        <v>35</v>
      </c>
      <c r="C7" s="820"/>
      <c r="D7" s="820"/>
      <c r="E7" s="820"/>
    </row>
    <row r="8" spans="1:10" ht="24" customHeight="1" thickBot="1" x14ac:dyDescent="0.3">
      <c r="A8" s="207" t="s">
        <v>0</v>
      </c>
      <c r="B8" s="820" t="s">
        <v>277</v>
      </c>
      <c r="C8" s="820"/>
      <c r="D8" s="820"/>
      <c r="E8" s="820"/>
    </row>
    <row r="9" spans="1:10" ht="30" customHeight="1" x14ac:dyDescent="0.25">
      <c r="A9" s="208" t="s">
        <v>2</v>
      </c>
      <c r="B9" s="890" t="s">
        <v>278</v>
      </c>
      <c r="C9" s="890"/>
      <c r="D9" s="890"/>
      <c r="E9" s="890"/>
      <c r="G9" s="116" t="s">
        <v>279</v>
      </c>
      <c r="H9" s="116" t="s">
        <v>280</v>
      </c>
      <c r="I9" s="116" t="s">
        <v>201</v>
      </c>
      <c r="J9" s="116" t="s">
        <v>281</v>
      </c>
    </row>
    <row r="10" spans="1:10" ht="33" customHeight="1" x14ac:dyDescent="0.25">
      <c r="A10" s="208" t="s">
        <v>31</v>
      </c>
      <c r="B10" s="917" t="s">
        <v>770</v>
      </c>
      <c r="C10" s="918"/>
      <c r="D10" s="918"/>
      <c r="E10" s="919"/>
      <c r="G10" s="118">
        <v>60</v>
      </c>
      <c r="H10" s="118">
        <v>1410</v>
      </c>
      <c r="I10" s="118">
        <v>0.7</v>
      </c>
      <c r="J10" s="118">
        <v>5000</v>
      </c>
    </row>
    <row r="11" spans="1:10" ht="30" customHeight="1" x14ac:dyDescent="0.25">
      <c r="A11" s="209" t="s">
        <v>16</v>
      </c>
      <c r="B11" s="874" t="s">
        <v>512</v>
      </c>
      <c r="C11" s="874"/>
      <c r="D11" s="874"/>
      <c r="E11" s="874"/>
    </row>
    <row r="12" spans="1:10" ht="30" customHeight="1" x14ac:dyDescent="0.25">
      <c r="A12" s="209" t="s">
        <v>3</v>
      </c>
      <c r="B12" s="874"/>
      <c r="C12" s="874"/>
      <c r="D12" s="874"/>
      <c r="E12" s="874"/>
    </row>
    <row r="13" spans="1:10" ht="30" customHeight="1" x14ac:dyDescent="0.25">
      <c r="A13" s="209" t="s">
        <v>17</v>
      </c>
      <c r="B13" s="874"/>
      <c r="C13" s="874"/>
      <c r="D13" s="874"/>
      <c r="E13" s="874"/>
      <c r="G13" s="117" t="s">
        <v>282</v>
      </c>
      <c r="H13" s="117" t="s">
        <v>202</v>
      </c>
      <c r="I13" s="117" t="s">
        <v>203</v>
      </c>
      <c r="J13" s="117" t="s">
        <v>188</v>
      </c>
    </row>
    <row r="14" spans="1:10" ht="30" customHeight="1" x14ac:dyDescent="0.25">
      <c r="A14" s="209" t="s">
        <v>4</v>
      </c>
      <c r="B14" s="874">
        <v>2015</v>
      </c>
      <c r="C14" s="874"/>
      <c r="D14" s="874"/>
      <c r="E14" s="874"/>
      <c r="G14" s="135">
        <f>G10*H10*10</f>
        <v>846000</v>
      </c>
      <c r="H14" s="119">
        <v>0.26100000000000001</v>
      </c>
      <c r="I14" s="119">
        <v>1128</v>
      </c>
      <c r="J14" s="119">
        <v>16402</v>
      </c>
    </row>
    <row r="15" spans="1:10" ht="30" customHeight="1" x14ac:dyDescent="0.25">
      <c r="A15" s="209" t="s">
        <v>5</v>
      </c>
      <c r="B15" s="874">
        <v>2020</v>
      </c>
      <c r="C15" s="874"/>
      <c r="D15" s="874"/>
      <c r="E15" s="874"/>
    </row>
    <row r="16" spans="1:10" ht="30" customHeight="1" x14ac:dyDescent="0.25">
      <c r="A16" s="209" t="s">
        <v>6</v>
      </c>
      <c r="B16" s="845">
        <f>G10*J10</f>
        <v>300000</v>
      </c>
      <c r="C16" s="845"/>
      <c r="D16" s="845"/>
      <c r="E16" s="845"/>
    </row>
    <row r="17" spans="1:9" ht="30" customHeight="1" x14ac:dyDescent="0.25">
      <c r="A17" s="209" t="s">
        <v>7</v>
      </c>
      <c r="B17" s="845">
        <f>G10*800</f>
        <v>48000</v>
      </c>
      <c r="C17" s="845"/>
      <c r="D17" s="845"/>
      <c r="E17" s="845"/>
    </row>
    <row r="18" spans="1:9" ht="30" customHeight="1" x14ac:dyDescent="0.25">
      <c r="A18" s="210" t="s">
        <v>468</v>
      </c>
      <c r="B18" s="868">
        <f>G10*H10*10</f>
        <v>846000</v>
      </c>
      <c r="C18" s="869"/>
      <c r="D18" s="869"/>
      <c r="E18" s="869"/>
      <c r="H18" s="2"/>
    </row>
    <row r="19" spans="1:9" ht="30" customHeight="1" x14ac:dyDescent="0.25">
      <c r="A19" s="238" t="s">
        <v>467</v>
      </c>
      <c r="B19" s="870">
        <f>G10*H10*10</f>
        <v>846000</v>
      </c>
      <c r="C19" s="871"/>
      <c r="D19" s="871"/>
      <c r="E19" s="871"/>
      <c r="G19" s="2"/>
      <c r="H19" s="2"/>
    </row>
    <row r="20" spans="1:9" ht="30" customHeight="1" x14ac:dyDescent="0.25">
      <c r="A20" s="209" t="s">
        <v>8</v>
      </c>
      <c r="B20" s="845">
        <f>B18/10*I10</f>
        <v>59219.999999999993</v>
      </c>
      <c r="C20" s="845"/>
      <c r="D20" s="845"/>
      <c r="E20" s="845"/>
    </row>
    <row r="21" spans="1:9" ht="30" customHeight="1" x14ac:dyDescent="0.25">
      <c r="A21" s="209" t="s">
        <v>9</v>
      </c>
      <c r="B21" s="845"/>
      <c r="C21" s="845"/>
      <c r="D21" s="845"/>
      <c r="E21" s="845"/>
    </row>
    <row r="22" spans="1:9" ht="30" customHeight="1" x14ac:dyDescent="0.25">
      <c r="A22" s="209" t="s">
        <v>465</v>
      </c>
      <c r="B22" s="846">
        <f>B16/(B20+B21)</f>
        <v>5.0658561296859173</v>
      </c>
      <c r="C22" s="846"/>
      <c r="D22" s="846"/>
      <c r="E22" s="846"/>
    </row>
    <row r="23" spans="1:9" ht="30" customHeight="1" x14ac:dyDescent="0.25">
      <c r="A23" s="209" t="s">
        <v>466</v>
      </c>
      <c r="B23" s="847">
        <f>(B16-B17)/(B20+B21)</f>
        <v>4.255319148936171</v>
      </c>
      <c r="C23" s="847"/>
      <c r="D23" s="847"/>
      <c r="E23" s="847"/>
    </row>
    <row r="24" spans="1:9" ht="30" customHeight="1" x14ac:dyDescent="0.25">
      <c r="A24" s="211" t="s">
        <v>476</v>
      </c>
      <c r="B24" s="901">
        <f>B18/1000*H14</f>
        <v>220.80600000000001</v>
      </c>
      <c r="C24" s="901"/>
      <c r="D24" s="901"/>
      <c r="E24" s="901"/>
    </row>
    <row r="25" spans="1:9" ht="30" customHeight="1" x14ac:dyDescent="0.25">
      <c r="A25" s="212" t="s">
        <v>463</v>
      </c>
      <c r="B25" s="881">
        <f>B24/'Objectifs CO2'!C12</f>
        <v>6.3992701645240332E-2</v>
      </c>
      <c r="C25" s="881"/>
      <c r="D25" s="881"/>
      <c r="E25" s="881"/>
    </row>
    <row r="26" spans="1:9" ht="30" customHeight="1" x14ac:dyDescent="0.25">
      <c r="A26" s="213" t="s">
        <v>464</v>
      </c>
      <c r="B26" s="881">
        <f>B24/'Objectifs CO2'!C8</f>
        <v>3.1996350822620166E-2</v>
      </c>
      <c r="C26" s="881"/>
      <c r="D26" s="881"/>
      <c r="E26" s="881"/>
    </row>
    <row r="27" spans="1:9" ht="30" customHeight="1" x14ac:dyDescent="0.25">
      <c r="A27" s="213" t="s">
        <v>24</v>
      </c>
      <c r="B27" s="853"/>
      <c r="C27" s="853"/>
      <c r="D27" s="853"/>
      <c r="E27" s="853"/>
    </row>
    <row r="28" spans="1:9" ht="30" customHeight="1" x14ac:dyDescent="0.25">
      <c r="A28" s="213" t="s">
        <v>418</v>
      </c>
      <c r="B28" s="853" t="s">
        <v>447</v>
      </c>
      <c r="C28" s="853"/>
      <c r="D28" s="853"/>
      <c r="E28" s="853"/>
    </row>
    <row r="30" spans="1:9" x14ac:dyDescent="0.25">
      <c r="B30" s="867" t="s">
        <v>530</v>
      </c>
      <c r="C30" s="867"/>
      <c r="D30" s="867"/>
      <c r="E30" s="143" t="s">
        <v>538</v>
      </c>
    </row>
    <row r="31" spans="1:9" x14ac:dyDescent="0.25">
      <c r="B31" s="864" t="s">
        <v>521</v>
      </c>
      <c r="C31" s="864"/>
      <c r="D31" s="864"/>
      <c r="E31" s="114"/>
      <c r="G31" s="866" t="s">
        <v>538</v>
      </c>
      <c r="H31" s="866"/>
      <c r="I31" s="866"/>
    </row>
    <row r="32" spans="1:9" x14ac:dyDescent="0.25">
      <c r="B32" s="864" t="s">
        <v>522</v>
      </c>
      <c r="C32" s="864"/>
      <c r="D32" s="864"/>
      <c r="E32" s="114"/>
      <c r="G32" s="252">
        <v>3</v>
      </c>
      <c r="H32" s="866" t="s">
        <v>535</v>
      </c>
      <c r="I32" s="866"/>
    </row>
    <row r="33" spans="2:9" x14ac:dyDescent="0.25">
      <c r="B33" s="864" t="s">
        <v>524</v>
      </c>
      <c r="C33" s="864"/>
      <c r="D33" s="864"/>
      <c r="E33" s="114"/>
      <c r="G33" s="252">
        <v>2</v>
      </c>
      <c r="H33" s="866" t="s">
        <v>536</v>
      </c>
      <c r="I33" s="866"/>
    </row>
    <row r="34" spans="2:9" x14ac:dyDescent="0.25">
      <c r="B34" s="864" t="s">
        <v>523</v>
      </c>
      <c r="C34" s="864"/>
      <c r="D34" s="864"/>
      <c r="E34" s="114"/>
      <c r="G34" s="252">
        <v>1</v>
      </c>
      <c r="H34" s="866" t="s">
        <v>537</v>
      </c>
      <c r="I34" s="866"/>
    </row>
    <row r="35" spans="2:9" x14ac:dyDescent="0.25">
      <c r="B35" s="864" t="s">
        <v>525</v>
      </c>
      <c r="C35" s="864"/>
      <c r="D35" s="864"/>
      <c r="E35" s="114"/>
    </row>
    <row r="36" spans="2:9" x14ac:dyDescent="0.25">
      <c r="B36" s="864" t="s">
        <v>526</v>
      </c>
      <c r="C36" s="864"/>
      <c r="D36" s="864"/>
      <c r="E36" s="114"/>
    </row>
    <row r="37" spans="2:9" x14ac:dyDescent="0.25">
      <c r="B37" s="864" t="s">
        <v>527</v>
      </c>
      <c r="C37" s="864"/>
      <c r="D37" s="864"/>
      <c r="E37" s="114"/>
    </row>
    <row r="38" spans="2:9" x14ac:dyDescent="0.25">
      <c r="B38" s="864" t="s">
        <v>528</v>
      </c>
      <c r="C38" s="864"/>
      <c r="D38" s="864"/>
      <c r="E38" s="114"/>
    </row>
    <row r="39" spans="2:9" x14ac:dyDescent="0.25">
      <c r="B39" s="864" t="s">
        <v>529</v>
      </c>
      <c r="C39" s="864"/>
      <c r="D39" s="864"/>
      <c r="E39" s="114"/>
      <c r="G39" s="863" t="s">
        <v>541</v>
      </c>
      <c r="H39" s="863"/>
      <c r="I39" s="863"/>
    </row>
    <row r="40" spans="2:9" x14ac:dyDescent="0.25">
      <c r="B40" s="865" t="s">
        <v>395</v>
      </c>
      <c r="C40" s="865"/>
      <c r="D40" s="865"/>
      <c r="E40" s="258">
        <f>SUM(E31:E39)</f>
        <v>0</v>
      </c>
      <c r="G40" s="254" t="s">
        <v>542</v>
      </c>
      <c r="H40" s="257" t="s">
        <v>543</v>
      </c>
      <c r="I40" s="254" t="s">
        <v>544</v>
      </c>
    </row>
    <row r="41" spans="2:9" x14ac:dyDescent="0.25">
      <c r="E41" s="202" t="s">
        <v>576</v>
      </c>
      <c r="G41" s="254" t="s">
        <v>545</v>
      </c>
      <c r="H41" s="254" t="s">
        <v>547</v>
      </c>
      <c r="I41" s="254" t="s">
        <v>546</v>
      </c>
    </row>
    <row r="43" spans="2:9" x14ac:dyDescent="0.25">
      <c r="B43" s="860" t="s">
        <v>520</v>
      </c>
      <c r="C43" s="861"/>
      <c r="D43" s="862"/>
      <c r="E43" s="251">
        <v>1</v>
      </c>
      <c r="G43" s="254">
        <v>1</v>
      </c>
      <c r="H43" s="254" t="s">
        <v>539</v>
      </c>
    </row>
    <row r="44" spans="2:9" x14ac:dyDescent="0.25">
      <c r="G44" s="254">
        <v>0</v>
      </c>
      <c r="H44" s="254" t="s">
        <v>540</v>
      </c>
    </row>
  </sheetData>
  <mergeCells count="45">
    <mergeCell ref="G6:I6"/>
    <mergeCell ref="B16:E16"/>
    <mergeCell ref="B17:E17"/>
    <mergeCell ref="B15:E15"/>
    <mergeCell ref="A2:E2"/>
    <mergeCell ref="C5:D5"/>
    <mergeCell ref="B7:E7"/>
    <mergeCell ref="B8:E8"/>
    <mergeCell ref="B9:E9"/>
    <mergeCell ref="B10:E10"/>
    <mergeCell ref="B11:E11"/>
    <mergeCell ref="B12:E12"/>
    <mergeCell ref="B13:E13"/>
    <mergeCell ref="B14:E14"/>
    <mergeCell ref="C4:D4"/>
    <mergeCell ref="B18:E18"/>
    <mergeCell ref="B19:E19"/>
    <mergeCell ref="B20:E20"/>
    <mergeCell ref="B21:E21"/>
    <mergeCell ref="B22:E22"/>
    <mergeCell ref="G31:I31"/>
    <mergeCell ref="B32:D32"/>
    <mergeCell ref="H32:I32"/>
    <mergeCell ref="B23:E23"/>
    <mergeCell ref="B24:E24"/>
    <mergeCell ref="B25:E25"/>
    <mergeCell ref="B28:E28"/>
    <mergeCell ref="B27:E27"/>
    <mergeCell ref="B26:E26"/>
    <mergeCell ref="B43:D43"/>
    <mergeCell ref="G4:I4"/>
    <mergeCell ref="G5:I5"/>
    <mergeCell ref="G39:I39"/>
    <mergeCell ref="B36:D36"/>
    <mergeCell ref="B37:D37"/>
    <mergeCell ref="B38:D38"/>
    <mergeCell ref="B39:D39"/>
    <mergeCell ref="B40:D40"/>
    <mergeCell ref="B33:D33"/>
    <mergeCell ref="H33:I33"/>
    <mergeCell ref="B34:D34"/>
    <mergeCell ref="H34:I34"/>
    <mergeCell ref="B35:D35"/>
    <mergeCell ref="B30:D30"/>
    <mergeCell ref="B31:D31"/>
  </mergeCells>
  <conditionalFormatting sqref="E5">
    <cfRule type="containsText" dxfId="92" priority="1" operator="containsText" text="Terminé">
      <formula>NOT(ISERROR(SEARCH("Terminé",E5)))</formula>
    </cfRule>
    <cfRule type="containsText" dxfId="91" priority="2" operator="containsText" text="En cours">
      <formula>NOT(ISERROR(SEARCH("En cours",E5)))</formula>
    </cfRule>
    <cfRule type="containsText" dxfId="90"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pageSetup paperSize="9" scale="9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4"/>
  <sheetViews>
    <sheetView topLeftCell="C1" zoomScaleNormal="100" zoomScaleSheetLayoutView="220"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5" ht="21" x14ac:dyDescent="0.35">
      <c r="A1" s="11" t="s">
        <v>87</v>
      </c>
      <c r="B1" s="11"/>
      <c r="C1" s="11"/>
      <c r="D1" s="11"/>
      <c r="E1" s="11"/>
    </row>
    <row r="2" spans="1:15" ht="26.25" x14ac:dyDescent="0.4">
      <c r="A2" s="856" t="s">
        <v>913</v>
      </c>
      <c r="B2" s="856"/>
      <c r="C2" s="856"/>
      <c r="D2" s="856"/>
      <c r="E2" s="856"/>
    </row>
    <row r="3" spans="1:15" ht="27" thickBot="1" x14ac:dyDescent="0.45">
      <c r="A3" s="107"/>
      <c r="B3" s="107"/>
      <c r="C3" s="107"/>
      <c r="D3" s="107"/>
      <c r="E3" s="107"/>
    </row>
    <row r="4" spans="1:15" ht="15.75" thickBot="1" x14ac:dyDescent="0.3">
      <c r="A4" s="12"/>
      <c r="B4" s="233" t="s">
        <v>469</v>
      </c>
      <c r="C4" s="851" t="s">
        <v>39</v>
      </c>
      <c r="D4" s="852"/>
      <c r="E4" s="175" t="s">
        <v>287</v>
      </c>
      <c r="G4" s="848" t="s">
        <v>914</v>
      </c>
      <c r="H4" s="848"/>
      <c r="I4" s="848"/>
    </row>
    <row r="5" spans="1:15" ht="15.75" x14ac:dyDescent="0.25">
      <c r="A5" s="381" t="s">
        <v>651</v>
      </c>
      <c r="B5" s="382" t="s">
        <v>652</v>
      </c>
      <c r="C5" s="820" t="s">
        <v>18</v>
      </c>
      <c r="D5" s="820"/>
      <c r="E5" s="232" t="s">
        <v>19</v>
      </c>
      <c r="G5" s="848" t="s">
        <v>915</v>
      </c>
      <c r="H5" s="848"/>
      <c r="I5" s="848"/>
    </row>
    <row r="6" spans="1:15" ht="16.5" thickBot="1" x14ac:dyDescent="0.3">
      <c r="A6" s="379" t="s">
        <v>660</v>
      </c>
      <c r="B6" s="380" t="s">
        <v>398</v>
      </c>
      <c r="C6" s="16"/>
      <c r="D6" s="16"/>
      <c r="E6" s="16"/>
      <c r="G6" s="850" t="s">
        <v>916</v>
      </c>
      <c r="H6" s="850"/>
      <c r="I6" s="850"/>
    </row>
    <row r="7" spans="1:15" ht="24" customHeight="1" thickBot="1" x14ac:dyDescent="0.3">
      <c r="A7" s="207" t="s">
        <v>1</v>
      </c>
      <c r="B7" s="820" t="s">
        <v>38</v>
      </c>
      <c r="C7" s="820"/>
      <c r="D7" s="820"/>
      <c r="E7" s="820"/>
    </row>
    <row r="8" spans="1:15" ht="24" customHeight="1" thickBot="1" x14ac:dyDescent="0.3">
      <c r="A8" s="207" t="s">
        <v>0</v>
      </c>
      <c r="B8" s="820" t="s">
        <v>852</v>
      </c>
      <c r="C8" s="820"/>
      <c r="D8" s="820"/>
      <c r="E8" s="820"/>
    </row>
    <row r="9" spans="1:15" ht="30" x14ac:dyDescent="0.25">
      <c r="A9" s="208" t="s">
        <v>2</v>
      </c>
      <c r="B9" s="890" t="s">
        <v>283</v>
      </c>
      <c r="C9" s="889"/>
      <c r="D9" s="889"/>
      <c r="E9" s="889"/>
      <c r="G9" s="117" t="s">
        <v>245</v>
      </c>
      <c r="H9" s="117" t="s">
        <v>246</v>
      </c>
      <c r="I9" s="117" t="s">
        <v>247</v>
      </c>
      <c r="J9" s="117" t="s">
        <v>248</v>
      </c>
      <c r="K9" s="117" t="s">
        <v>249</v>
      </c>
      <c r="L9" s="117" t="s">
        <v>250</v>
      </c>
      <c r="M9" s="117" t="s">
        <v>251</v>
      </c>
      <c r="N9" s="117" t="s">
        <v>202</v>
      </c>
      <c r="O9" s="117" t="s">
        <v>227</v>
      </c>
    </row>
    <row r="10" spans="1:15" ht="39" customHeight="1" x14ac:dyDescent="0.25">
      <c r="A10" s="208" t="s">
        <v>31</v>
      </c>
      <c r="B10" s="917" t="s">
        <v>284</v>
      </c>
      <c r="C10" s="918"/>
      <c r="D10" s="918"/>
      <c r="E10" s="919"/>
      <c r="G10" s="117">
        <f>G13*H13</f>
        <v>270</v>
      </c>
      <c r="H10" s="117">
        <v>2600</v>
      </c>
      <c r="I10" s="117">
        <v>0.39</v>
      </c>
      <c r="J10" s="117">
        <v>0.53800000000000003</v>
      </c>
      <c r="K10" s="117">
        <v>0.46200000000000002</v>
      </c>
      <c r="L10" s="117">
        <f>G10*I10*H10*J10</f>
        <v>147293.64000000001</v>
      </c>
      <c r="M10" s="117">
        <f>G10*I10*H10*K10</f>
        <v>126486.36</v>
      </c>
      <c r="N10" s="117">
        <v>0.26100000000000001</v>
      </c>
      <c r="O10" s="117">
        <v>0.36499999999999999</v>
      </c>
    </row>
    <row r="11" spans="1:15" ht="30" customHeight="1" x14ac:dyDescent="0.25">
      <c r="A11" s="209" t="s">
        <v>16</v>
      </c>
      <c r="B11" s="874" t="s">
        <v>39</v>
      </c>
      <c r="C11" s="874"/>
      <c r="D11" s="874"/>
      <c r="E11" s="874"/>
    </row>
    <row r="12" spans="1:15" ht="30" customHeight="1" x14ac:dyDescent="0.25">
      <c r="A12" s="209" t="s">
        <v>3</v>
      </c>
      <c r="B12" s="874"/>
      <c r="C12" s="874"/>
      <c r="D12" s="874"/>
      <c r="E12" s="874"/>
      <c r="G12" s="116" t="s">
        <v>285</v>
      </c>
      <c r="H12" s="116" t="s">
        <v>286</v>
      </c>
      <c r="I12" s="116" t="s">
        <v>451</v>
      </c>
      <c r="J12" s="116" t="s">
        <v>450</v>
      </c>
    </row>
    <row r="13" spans="1:15" ht="30" customHeight="1" x14ac:dyDescent="0.25">
      <c r="A13" s="209" t="s">
        <v>17</v>
      </c>
      <c r="B13" s="874"/>
      <c r="C13" s="874"/>
      <c r="D13" s="874"/>
      <c r="E13" s="874"/>
      <c r="G13" s="116">
        <v>3</v>
      </c>
      <c r="H13" s="116">
        <v>90</v>
      </c>
      <c r="I13" s="116">
        <v>120000</v>
      </c>
      <c r="J13" s="116">
        <v>65</v>
      </c>
    </row>
    <row r="14" spans="1:15" ht="30" customHeight="1" x14ac:dyDescent="0.25">
      <c r="A14" s="209" t="s">
        <v>4</v>
      </c>
      <c r="B14" s="874">
        <v>2016</v>
      </c>
      <c r="C14" s="874"/>
      <c r="D14" s="874"/>
      <c r="E14" s="874"/>
    </row>
    <row r="15" spans="1:15" ht="30" customHeight="1" x14ac:dyDescent="0.25">
      <c r="A15" s="209" t="s">
        <v>5</v>
      </c>
      <c r="B15" s="874">
        <v>2020</v>
      </c>
      <c r="C15" s="874"/>
      <c r="D15" s="874"/>
      <c r="E15" s="874"/>
    </row>
    <row r="16" spans="1:15" ht="30" customHeight="1" x14ac:dyDescent="0.25">
      <c r="A16" s="209" t="s">
        <v>6</v>
      </c>
      <c r="B16" s="845">
        <f>G13*I13</f>
        <v>360000</v>
      </c>
      <c r="C16" s="845"/>
      <c r="D16" s="845"/>
      <c r="E16" s="845"/>
    </row>
    <row r="17" spans="1:9" ht="30" customHeight="1" x14ac:dyDescent="0.25">
      <c r="A17" s="209" t="s">
        <v>7</v>
      </c>
      <c r="B17" s="845">
        <f>B16*0.3</f>
        <v>108000</v>
      </c>
      <c r="C17" s="845"/>
      <c r="D17" s="845"/>
      <c r="E17" s="845"/>
    </row>
    <row r="18" spans="1:9" ht="30" customHeight="1" x14ac:dyDescent="0.25">
      <c r="A18" s="210" t="s">
        <v>468</v>
      </c>
      <c r="B18" s="868">
        <f>B19</f>
        <v>273780</v>
      </c>
      <c r="C18" s="869"/>
      <c r="D18" s="869"/>
      <c r="E18" s="869"/>
    </row>
    <row r="19" spans="1:9" ht="30" customHeight="1" x14ac:dyDescent="0.25">
      <c r="A19" s="238" t="s">
        <v>467</v>
      </c>
      <c r="B19" s="870">
        <f>G10*I10*H10</f>
        <v>273780</v>
      </c>
      <c r="C19" s="871"/>
      <c r="D19" s="871"/>
      <c r="E19" s="871"/>
    </row>
    <row r="20" spans="1:9" ht="30" customHeight="1" x14ac:dyDescent="0.25">
      <c r="A20" s="209" t="s">
        <v>8</v>
      </c>
      <c r="B20" s="845">
        <f>B18/2*(0.19+0.08933)</f>
        <v>38237.483700000004</v>
      </c>
      <c r="C20" s="845"/>
      <c r="D20" s="845"/>
      <c r="E20" s="845"/>
    </row>
    <row r="21" spans="1:9" ht="30" customHeight="1" x14ac:dyDescent="0.25">
      <c r="A21" s="209" t="s">
        <v>9</v>
      </c>
      <c r="B21" s="845">
        <f>B19/1000*J13</f>
        <v>17795.699999999997</v>
      </c>
      <c r="C21" s="845"/>
      <c r="D21" s="845"/>
      <c r="E21" s="845"/>
    </row>
    <row r="22" spans="1:9" ht="30" customHeight="1" x14ac:dyDescent="0.25">
      <c r="A22" s="209" t="s">
        <v>465</v>
      </c>
      <c r="B22" s="846">
        <f>B16/(B20+B21)</f>
        <v>6.4247643312118274</v>
      </c>
      <c r="C22" s="846"/>
      <c r="D22" s="846"/>
      <c r="E22" s="846"/>
    </row>
    <row r="23" spans="1:9" ht="30" customHeight="1" x14ac:dyDescent="0.25">
      <c r="A23" s="209" t="s">
        <v>466</v>
      </c>
      <c r="B23" s="847">
        <f>(B16-B17)/(B20+B21)</f>
        <v>4.4973350318482792</v>
      </c>
      <c r="C23" s="847"/>
      <c r="D23" s="847"/>
      <c r="E23" s="847"/>
    </row>
    <row r="24" spans="1:9" ht="30" customHeight="1" x14ac:dyDescent="0.25">
      <c r="A24" s="211" t="s">
        <v>476</v>
      </c>
      <c r="B24" s="901">
        <f>(L10/1000*O10)+(M10/1000*N10)</f>
        <v>86.77511856000001</v>
      </c>
      <c r="C24" s="901"/>
      <c r="D24" s="901"/>
      <c r="E24" s="901"/>
    </row>
    <row r="25" spans="1:9" ht="30" customHeight="1" x14ac:dyDescent="0.25">
      <c r="A25" s="212" t="s">
        <v>463</v>
      </c>
      <c r="B25" s="881">
        <f>B24/'Objectifs CO2'!C10</f>
        <v>0.12574328306840479</v>
      </c>
      <c r="C25" s="881"/>
      <c r="D25" s="881"/>
      <c r="E25" s="881"/>
    </row>
    <row r="26" spans="1:9" ht="30" customHeight="1" x14ac:dyDescent="0.25">
      <c r="A26" s="213" t="s">
        <v>464</v>
      </c>
      <c r="B26" s="881">
        <f>B24/'Objectifs CO2'!C8</f>
        <v>1.2574328306840479E-2</v>
      </c>
      <c r="C26" s="881"/>
      <c r="D26" s="881"/>
      <c r="E26" s="881"/>
    </row>
    <row r="27" spans="1:9" ht="30" customHeight="1" x14ac:dyDescent="0.25">
      <c r="A27" s="213" t="s">
        <v>24</v>
      </c>
      <c r="B27" s="853"/>
      <c r="C27" s="853"/>
      <c r="D27" s="853"/>
      <c r="E27" s="853"/>
    </row>
    <row r="28" spans="1:9" ht="30" customHeight="1" x14ac:dyDescent="0.25">
      <c r="A28" s="213" t="s">
        <v>418</v>
      </c>
      <c r="B28" s="853" t="s">
        <v>842</v>
      </c>
      <c r="C28" s="853"/>
      <c r="D28" s="853"/>
      <c r="E28" s="853"/>
    </row>
    <row r="30" spans="1:9" x14ac:dyDescent="0.25">
      <c r="B30" s="867" t="s">
        <v>530</v>
      </c>
      <c r="C30" s="867"/>
      <c r="D30" s="867"/>
      <c r="E30" s="143" t="s">
        <v>538</v>
      </c>
    </row>
    <row r="31" spans="1:9" x14ac:dyDescent="0.25">
      <c r="B31" s="864" t="s">
        <v>521</v>
      </c>
      <c r="C31" s="864"/>
      <c r="D31" s="864"/>
      <c r="E31" s="114"/>
      <c r="G31" s="866" t="s">
        <v>538</v>
      </c>
      <c r="H31" s="866"/>
      <c r="I31" s="866"/>
    </row>
    <row r="32" spans="1:9" x14ac:dyDescent="0.25">
      <c r="B32" s="864" t="s">
        <v>522</v>
      </c>
      <c r="C32" s="864"/>
      <c r="D32" s="864"/>
      <c r="E32" s="114"/>
      <c r="G32" s="252">
        <v>3</v>
      </c>
      <c r="H32" s="866" t="s">
        <v>535</v>
      </c>
      <c r="I32" s="866"/>
    </row>
    <row r="33" spans="2:9" x14ac:dyDescent="0.25">
      <c r="B33" s="864" t="s">
        <v>524</v>
      </c>
      <c r="C33" s="864"/>
      <c r="D33" s="864"/>
      <c r="E33" s="114"/>
      <c r="G33" s="252">
        <v>2</v>
      </c>
      <c r="H33" s="866" t="s">
        <v>536</v>
      </c>
      <c r="I33" s="866"/>
    </row>
    <row r="34" spans="2:9" x14ac:dyDescent="0.25">
      <c r="B34" s="864" t="s">
        <v>523</v>
      </c>
      <c r="C34" s="864"/>
      <c r="D34" s="864"/>
      <c r="E34" s="114"/>
      <c r="G34" s="252">
        <v>1</v>
      </c>
      <c r="H34" s="866" t="s">
        <v>537</v>
      </c>
      <c r="I34" s="866"/>
    </row>
    <row r="35" spans="2:9" x14ac:dyDescent="0.25">
      <c r="B35" s="864" t="s">
        <v>525</v>
      </c>
      <c r="C35" s="864"/>
      <c r="D35" s="864"/>
      <c r="E35" s="114"/>
    </row>
    <row r="36" spans="2:9" x14ac:dyDescent="0.25">
      <c r="B36" s="864" t="s">
        <v>526</v>
      </c>
      <c r="C36" s="864"/>
      <c r="D36" s="864"/>
      <c r="E36" s="114"/>
    </row>
    <row r="37" spans="2:9" x14ac:dyDescent="0.25">
      <c r="B37" s="864" t="s">
        <v>527</v>
      </c>
      <c r="C37" s="864"/>
      <c r="D37" s="864"/>
      <c r="E37" s="114"/>
    </row>
    <row r="38" spans="2:9" x14ac:dyDescent="0.25">
      <c r="B38" s="864" t="s">
        <v>528</v>
      </c>
      <c r="C38" s="864"/>
      <c r="D38" s="864"/>
      <c r="E38" s="114"/>
    </row>
    <row r="39" spans="2:9" x14ac:dyDescent="0.25">
      <c r="B39" s="864" t="s">
        <v>529</v>
      </c>
      <c r="C39" s="864"/>
      <c r="D39" s="864"/>
      <c r="E39" s="114"/>
      <c r="G39" s="863" t="s">
        <v>541</v>
      </c>
      <c r="H39" s="863"/>
      <c r="I39" s="863"/>
    </row>
    <row r="40" spans="2:9" x14ac:dyDescent="0.25">
      <c r="B40" s="865" t="s">
        <v>395</v>
      </c>
      <c r="C40" s="865"/>
      <c r="D40" s="865"/>
      <c r="E40" s="258">
        <f>SUM(E31:E39)</f>
        <v>0</v>
      </c>
      <c r="G40" s="254" t="s">
        <v>542</v>
      </c>
      <c r="H40" s="257" t="s">
        <v>543</v>
      </c>
      <c r="I40" s="254" t="s">
        <v>544</v>
      </c>
    </row>
    <row r="41" spans="2:9" x14ac:dyDescent="0.25">
      <c r="E41" s="202" t="s">
        <v>576</v>
      </c>
      <c r="G41" s="254" t="s">
        <v>545</v>
      </c>
      <c r="H41" s="254" t="s">
        <v>547</v>
      </c>
      <c r="I41" s="254" t="s">
        <v>546</v>
      </c>
    </row>
    <row r="43" spans="2:9" x14ac:dyDescent="0.25">
      <c r="B43" s="860" t="s">
        <v>520</v>
      </c>
      <c r="C43" s="861"/>
      <c r="D43" s="862"/>
      <c r="E43" s="251">
        <v>1</v>
      </c>
      <c r="G43" s="254">
        <v>1</v>
      </c>
      <c r="H43" s="254" t="s">
        <v>539</v>
      </c>
    </row>
    <row r="44" spans="2:9" x14ac:dyDescent="0.25">
      <c r="G44" s="254">
        <v>0</v>
      </c>
      <c r="H44" s="254" t="s">
        <v>540</v>
      </c>
    </row>
  </sheetData>
  <mergeCells count="45">
    <mergeCell ref="G6:I6"/>
    <mergeCell ref="B16:E16"/>
    <mergeCell ref="B17:E17"/>
    <mergeCell ref="B15:E15"/>
    <mergeCell ref="A2:E2"/>
    <mergeCell ref="C5:D5"/>
    <mergeCell ref="B7:E7"/>
    <mergeCell ref="B8:E8"/>
    <mergeCell ref="B9:E9"/>
    <mergeCell ref="B10:E10"/>
    <mergeCell ref="B11:E11"/>
    <mergeCell ref="B12:E12"/>
    <mergeCell ref="B13:E13"/>
    <mergeCell ref="B14:E14"/>
    <mergeCell ref="C4:D4"/>
    <mergeCell ref="B18:E18"/>
    <mergeCell ref="B19:E19"/>
    <mergeCell ref="B20:E20"/>
    <mergeCell ref="B21:E21"/>
    <mergeCell ref="B22:E22"/>
    <mergeCell ref="G31:I31"/>
    <mergeCell ref="B32:D32"/>
    <mergeCell ref="H32:I32"/>
    <mergeCell ref="B23:E23"/>
    <mergeCell ref="B24:E24"/>
    <mergeCell ref="B25:E25"/>
    <mergeCell ref="B28:E28"/>
    <mergeCell ref="B27:E27"/>
    <mergeCell ref="B26:E26"/>
    <mergeCell ref="B43:D43"/>
    <mergeCell ref="G4:I4"/>
    <mergeCell ref="G5:I5"/>
    <mergeCell ref="G39:I39"/>
    <mergeCell ref="B36:D36"/>
    <mergeCell ref="B37:D37"/>
    <mergeCell ref="B38:D38"/>
    <mergeCell ref="B39:D39"/>
    <mergeCell ref="B40:D40"/>
    <mergeCell ref="B33:D33"/>
    <mergeCell ref="H33:I33"/>
    <mergeCell ref="B34:D34"/>
    <mergeCell ref="H34:I34"/>
    <mergeCell ref="B35:D35"/>
    <mergeCell ref="B30:D30"/>
    <mergeCell ref="B31:D31"/>
  </mergeCells>
  <conditionalFormatting sqref="E5">
    <cfRule type="containsText" dxfId="89" priority="1" operator="containsText" text="Terminé">
      <formula>NOT(ISERROR(SEARCH("Terminé",E5)))</formula>
    </cfRule>
    <cfRule type="containsText" dxfId="88" priority="2" operator="containsText" text="En cours">
      <formula>NOT(ISERROR(SEARCH("En cours",E5)))</formula>
    </cfRule>
    <cfRule type="containsText" dxfId="87"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pageSetup paperSize="9" scale="9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44"/>
  <sheetViews>
    <sheetView topLeftCell="C1" zoomScaleNormal="100" zoomScaleSheetLayoutView="220"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5" ht="21" x14ac:dyDescent="0.35">
      <c r="A1" s="11" t="s">
        <v>87</v>
      </c>
      <c r="B1" s="11"/>
      <c r="C1" s="11"/>
      <c r="D1" s="11"/>
      <c r="E1" s="11"/>
    </row>
    <row r="2" spans="1:15" ht="26.25" x14ac:dyDescent="0.4">
      <c r="A2" s="856" t="s">
        <v>913</v>
      </c>
      <c r="B2" s="856"/>
      <c r="C2" s="856"/>
      <c r="D2" s="856"/>
      <c r="E2" s="856"/>
    </row>
    <row r="3" spans="1:15" ht="27" thickBot="1" x14ac:dyDescent="0.45">
      <c r="A3" s="113"/>
      <c r="B3" s="113"/>
      <c r="C3" s="113"/>
      <c r="D3" s="113"/>
      <c r="E3" s="113"/>
    </row>
    <row r="4" spans="1:15" ht="15.75" thickBot="1" x14ac:dyDescent="0.3">
      <c r="A4" s="12"/>
      <c r="B4" s="233" t="s">
        <v>469</v>
      </c>
      <c r="C4" s="851" t="s">
        <v>611</v>
      </c>
      <c r="D4" s="852"/>
      <c r="E4" s="175" t="s">
        <v>239</v>
      </c>
      <c r="G4" s="848" t="s">
        <v>914</v>
      </c>
      <c r="H4" s="848"/>
      <c r="I4" s="848"/>
    </row>
    <row r="5" spans="1:15" ht="15.75" x14ac:dyDescent="0.25">
      <c r="A5" s="381" t="s">
        <v>651</v>
      </c>
      <c r="B5" s="382" t="s">
        <v>657</v>
      </c>
      <c r="C5" s="820" t="s">
        <v>18</v>
      </c>
      <c r="D5" s="820"/>
      <c r="E5" s="176" t="s">
        <v>45</v>
      </c>
      <c r="G5" s="848" t="s">
        <v>915</v>
      </c>
      <c r="H5" s="848"/>
      <c r="I5" s="848"/>
    </row>
    <row r="6" spans="1:15" ht="16.5" thickBot="1" x14ac:dyDescent="0.3">
      <c r="A6" s="379" t="s">
        <v>660</v>
      </c>
      <c r="B6" s="380" t="s">
        <v>28</v>
      </c>
      <c r="C6" s="16"/>
      <c r="D6" s="16"/>
      <c r="E6" s="16"/>
      <c r="G6" s="850" t="s">
        <v>916</v>
      </c>
      <c r="H6" s="850"/>
      <c r="I6" s="850"/>
    </row>
    <row r="7" spans="1:15" ht="24" customHeight="1" thickBot="1" x14ac:dyDescent="0.3">
      <c r="A7" s="207" t="s">
        <v>1</v>
      </c>
      <c r="B7" s="820" t="s">
        <v>61</v>
      </c>
      <c r="C7" s="820"/>
      <c r="D7" s="820"/>
      <c r="E7" s="820"/>
    </row>
    <row r="8" spans="1:15" ht="24" customHeight="1" thickBot="1" x14ac:dyDescent="0.3">
      <c r="A8" s="207" t="s">
        <v>0</v>
      </c>
      <c r="B8" s="820" t="s">
        <v>859</v>
      </c>
      <c r="C8" s="820"/>
      <c r="D8" s="820"/>
      <c r="E8" s="820"/>
    </row>
    <row r="9" spans="1:15" ht="30" x14ac:dyDescent="0.25">
      <c r="A9" s="208" t="s">
        <v>2</v>
      </c>
      <c r="B9" s="890"/>
      <c r="C9" s="890"/>
      <c r="D9" s="890"/>
      <c r="E9" s="890"/>
      <c r="G9" s="116" t="s">
        <v>231</v>
      </c>
      <c r="H9" s="116" t="s">
        <v>232</v>
      </c>
      <c r="I9" s="116" t="s">
        <v>233</v>
      </c>
      <c r="J9" s="116" t="s">
        <v>234</v>
      </c>
      <c r="K9" s="116" t="s">
        <v>235</v>
      </c>
      <c r="L9" s="117" t="s">
        <v>236</v>
      </c>
      <c r="M9" s="117" t="s">
        <v>237</v>
      </c>
      <c r="N9" s="116" t="s">
        <v>238</v>
      </c>
      <c r="O9" s="117" t="s">
        <v>227</v>
      </c>
    </row>
    <row r="10" spans="1:15" ht="39" customHeight="1" x14ac:dyDescent="0.25">
      <c r="A10" s="208" t="s">
        <v>31</v>
      </c>
      <c r="B10" s="889"/>
      <c r="C10" s="889"/>
      <c r="D10" s="889"/>
      <c r="E10" s="889"/>
      <c r="G10" s="118">
        <v>4</v>
      </c>
      <c r="H10" s="118">
        <v>2970</v>
      </c>
      <c r="I10" s="118">
        <v>0.25</v>
      </c>
      <c r="J10" s="118">
        <v>0.04</v>
      </c>
      <c r="K10" s="118">
        <v>65</v>
      </c>
      <c r="L10" s="119">
        <v>365</v>
      </c>
      <c r="M10" s="119">
        <v>24</v>
      </c>
      <c r="N10" s="118">
        <v>1500000</v>
      </c>
      <c r="O10" s="119">
        <v>0.36499999999999999</v>
      </c>
    </row>
    <row r="11" spans="1:15" ht="30" customHeight="1" x14ac:dyDescent="0.25">
      <c r="A11" s="209" t="s">
        <v>16</v>
      </c>
      <c r="B11" s="874" t="s">
        <v>86</v>
      </c>
      <c r="C11" s="874"/>
      <c r="D11" s="874"/>
      <c r="E11" s="874"/>
    </row>
    <row r="12" spans="1:15" ht="30" customHeight="1" x14ac:dyDescent="0.25">
      <c r="A12" s="209" t="s">
        <v>3</v>
      </c>
      <c r="B12" s="874"/>
      <c r="C12" s="874"/>
      <c r="D12" s="874"/>
      <c r="E12" s="874"/>
    </row>
    <row r="13" spans="1:15" ht="30" customHeight="1" x14ac:dyDescent="0.25">
      <c r="A13" s="209" t="s">
        <v>17</v>
      </c>
      <c r="B13" s="874"/>
      <c r="C13" s="874"/>
      <c r="D13" s="874"/>
      <c r="E13" s="874"/>
    </row>
    <row r="14" spans="1:15" ht="30" customHeight="1" x14ac:dyDescent="0.25">
      <c r="A14" s="209" t="s">
        <v>4</v>
      </c>
      <c r="B14" s="874">
        <v>2014</v>
      </c>
      <c r="C14" s="874"/>
      <c r="D14" s="874"/>
      <c r="E14" s="874"/>
    </row>
    <row r="15" spans="1:15" ht="30" customHeight="1" x14ac:dyDescent="0.25">
      <c r="A15" s="209" t="s">
        <v>5</v>
      </c>
      <c r="B15" s="874">
        <v>2020</v>
      </c>
      <c r="C15" s="874"/>
      <c r="D15" s="874"/>
      <c r="E15" s="874"/>
    </row>
    <row r="16" spans="1:15" ht="30" customHeight="1" x14ac:dyDescent="0.25">
      <c r="A16" s="209" t="s">
        <v>6</v>
      </c>
      <c r="B16" s="845">
        <f>G10*H10/1000*N10</f>
        <v>17820000</v>
      </c>
      <c r="C16" s="845"/>
      <c r="D16" s="845"/>
      <c r="E16" s="845"/>
    </row>
    <row r="17" spans="1:9" ht="30" customHeight="1" x14ac:dyDescent="0.25">
      <c r="A17" s="209" t="s">
        <v>7</v>
      </c>
      <c r="B17" s="845">
        <f>B16*0.2</f>
        <v>3564000</v>
      </c>
      <c r="C17" s="845"/>
      <c r="D17" s="845"/>
      <c r="E17" s="845"/>
    </row>
    <row r="18" spans="1:9" ht="30" customHeight="1" x14ac:dyDescent="0.25">
      <c r="A18" s="210" t="s">
        <v>468</v>
      </c>
      <c r="B18" s="868"/>
      <c r="C18" s="869"/>
      <c r="D18" s="869"/>
      <c r="E18" s="869"/>
    </row>
    <row r="19" spans="1:9" ht="30" customHeight="1" x14ac:dyDescent="0.25">
      <c r="A19" s="238" t="s">
        <v>467</v>
      </c>
      <c r="B19" s="870">
        <f>G10*H10*I10*L10*M10</f>
        <v>26017200</v>
      </c>
      <c r="C19" s="871"/>
      <c r="D19" s="871"/>
      <c r="E19" s="871"/>
    </row>
    <row r="20" spans="1:9" ht="30" customHeight="1" x14ac:dyDescent="0.25">
      <c r="A20" s="209" t="s">
        <v>8</v>
      </c>
      <c r="B20" s="845">
        <f>B19*J10</f>
        <v>1040688</v>
      </c>
      <c r="C20" s="845"/>
      <c r="D20" s="845"/>
      <c r="E20" s="845"/>
    </row>
    <row r="21" spans="1:9" ht="30" customHeight="1" x14ac:dyDescent="0.25">
      <c r="A21" s="209" t="s">
        <v>9</v>
      </c>
      <c r="B21" s="845">
        <f>B19/1000*K10</f>
        <v>1691118</v>
      </c>
      <c r="C21" s="845"/>
      <c r="D21" s="845"/>
      <c r="E21" s="845"/>
    </row>
    <row r="22" spans="1:9" ht="30" customHeight="1" x14ac:dyDescent="0.25">
      <c r="A22" s="209" t="s">
        <v>465</v>
      </c>
      <c r="B22" s="846">
        <f>B16/(B20+B21)</f>
        <v>6.5231572080887146</v>
      </c>
      <c r="C22" s="846"/>
      <c r="D22" s="846"/>
      <c r="E22" s="846"/>
    </row>
    <row r="23" spans="1:9" ht="30" customHeight="1" x14ac:dyDescent="0.25">
      <c r="A23" s="209" t="s">
        <v>466</v>
      </c>
      <c r="B23" s="847">
        <f>(B16-B17)/(B20+B21)</f>
        <v>5.2185257664709717</v>
      </c>
      <c r="C23" s="847"/>
      <c r="D23" s="847"/>
      <c r="E23" s="847"/>
    </row>
    <row r="24" spans="1:9" ht="30" customHeight="1" x14ac:dyDescent="0.25">
      <c r="A24" s="211" t="s">
        <v>476</v>
      </c>
      <c r="B24" s="901">
        <f>B19/1000*O10</f>
        <v>9496.2780000000002</v>
      </c>
      <c r="C24" s="901"/>
      <c r="D24" s="901"/>
      <c r="E24" s="901"/>
    </row>
    <row r="25" spans="1:9" ht="30" customHeight="1" x14ac:dyDescent="0.25">
      <c r="A25" s="212" t="s">
        <v>463</v>
      </c>
      <c r="B25" s="881">
        <f>B24/'Objectifs CO2'!C10</f>
        <v>13.760778348284457</v>
      </c>
      <c r="C25" s="881"/>
      <c r="D25" s="881"/>
      <c r="E25" s="881"/>
    </row>
    <row r="26" spans="1:9" ht="30" customHeight="1" x14ac:dyDescent="0.25">
      <c r="A26" s="213" t="s">
        <v>464</v>
      </c>
      <c r="B26" s="881">
        <f>B24/'Objectifs CO2'!C8</f>
        <v>1.3760778348284457</v>
      </c>
      <c r="C26" s="881"/>
      <c r="D26" s="881"/>
      <c r="E26" s="881"/>
    </row>
    <row r="27" spans="1:9" ht="30" customHeight="1" x14ac:dyDescent="0.25">
      <c r="A27" s="213" t="s">
        <v>24</v>
      </c>
      <c r="B27" s="853"/>
      <c r="C27" s="853"/>
      <c r="D27" s="853"/>
      <c r="E27" s="853"/>
    </row>
    <row r="28" spans="1:9" ht="30" customHeight="1" x14ac:dyDescent="0.25">
      <c r="A28" s="213" t="s">
        <v>418</v>
      </c>
      <c r="B28" s="853"/>
      <c r="C28" s="853"/>
      <c r="D28" s="853"/>
      <c r="E28" s="853"/>
    </row>
    <row r="30" spans="1:9" x14ac:dyDescent="0.25">
      <c r="B30" s="867" t="s">
        <v>530</v>
      </c>
      <c r="C30" s="867"/>
      <c r="D30" s="867"/>
      <c r="E30" s="143" t="s">
        <v>538</v>
      </c>
    </row>
    <row r="31" spans="1:9" x14ac:dyDescent="0.25">
      <c r="B31" s="864" t="s">
        <v>521</v>
      </c>
      <c r="C31" s="864"/>
      <c r="D31" s="864"/>
      <c r="E31" s="114"/>
      <c r="G31" s="866" t="s">
        <v>538</v>
      </c>
      <c r="H31" s="866"/>
      <c r="I31" s="866"/>
    </row>
    <row r="32" spans="1:9" x14ac:dyDescent="0.25">
      <c r="B32" s="864" t="s">
        <v>522</v>
      </c>
      <c r="C32" s="864"/>
      <c r="D32" s="864"/>
      <c r="E32" s="114"/>
      <c r="G32" s="252">
        <v>3</v>
      </c>
      <c r="H32" s="866" t="s">
        <v>535</v>
      </c>
      <c r="I32" s="866"/>
    </row>
    <row r="33" spans="2:9" x14ac:dyDescent="0.25">
      <c r="B33" s="864" t="s">
        <v>524</v>
      </c>
      <c r="C33" s="864"/>
      <c r="D33" s="864"/>
      <c r="E33" s="114"/>
      <c r="G33" s="252">
        <v>2</v>
      </c>
      <c r="H33" s="866" t="s">
        <v>536</v>
      </c>
      <c r="I33" s="866"/>
    </row>
    <row r="34" spans="2:9" x14ac:dyDescent="0.25">
      <c r="B34" s="864" t="s">
        <v>523</v>
      </c>
      <c r="C34" s="864"/>
      <c r="D34" s="864"/>
      <c r="E34" s="114"/>
      <c r="G34" s="252">
        <v>1</v>
      </c>
      <c r="H34" s="866" t="s">
        <v>537</v>
      </c>
      <c r="I34" s="866"/>
    </row>
    <row r="35" spans="2:9" x14ac:dyDescent="0.25">
      <c r="B35" s="864" t="s">
        <v>525</v>
      </c>
      <c r="C35" s="864"/>
      <c r="D35" s="864"/>
      <c r="E35" s="114"/>
    </row>
    <row r="36" spans="2:9" x14ac:dyDescent="0.25">
      <c r="B36" s="864" t="s">
        <v>526</v>
      </c>
      <c r="C36" s="864"/>
      <c r="D36" s="864"/>
      <c r="E36" s="114"/>
    </row>
    <row r="37" spans="2:9" x14ac:dyDescent="0.25">
      <c r="B37" s="864" t="s">
        <v>527</v>
      </c>
      <c r="C37" s="864"/>
      <c r="D37" s="864"/>
      <c r="E37" s="114"/>
    </row>
    <row r="38" spans="2:9" x14ac:dyDescent="0.25">
      <c r="B38" s="864" t="s">
        <v>528</v>
      </c>
      <c r="C38" s="864"/>
      <c r="D38" s="864"/>
      <c r="E38" s="114"/>
    </row>
    <row r="39" spans="2:9" x14ac:dyDescent="0.25">
      <c r="B39" s="864" t="s">
        <v>529</v>
      </c>
      <c r="C39" s="864"/>
      <c r="D39" s="864"/>
      <c r="E39" s="114"/>
      <c r="G39" s="863" t="s">
        <v>541</v>
      </c>
      <c r="H39" s="863"/>
      <c r="I39" s="863"/>
    </row>
    <row r="40" spans="2:9" x14ac:dyDescent="0.25">
      <c r="B40" s="865" t="s">
        <v>395</v>
      </c>
      <c r="C40" s="865"/>
      <c r="D40" s="865"/>
      <c r="E40" s="258">
        <f>SUM(E31:E39)</f>
        <v>0</v>
      </c>
      <c r="G40" s="254" t="s">
        <v>542</v>
      </c>
      <c r="H40" s="257" t="s">
        <v>543</v>
      </c>
      <c r="I40" s="254" t="s">
        <v>544</v>
      </c>
    </row>
    <row r="41" spans="2:9" x14ac:dyDescent="0.25">
      <c r="E41" s="202" t="s">
        <v>576</v>
      </c>
      <c r="G41" s="254" t="s">
        <v>545</v>
      </c>
      <c r="H41" s="254" t="s">
        <v>547</v>
      </c>
      <c r="I41" s="254" t="s">
        <v>546</v>
      </c>
    </row>
    <row r="43" spans="2:9" x14ac:dyDescent="0.25">
      <c r="B43" s="860" t="s">
        <v>520</v>
      </c>
      <c r="C43" s="861"/>
      <c r="D43" s="862"/>
      <c r="E43" s="251">
        <v>1</v>
      </c>
      <c r="G43" s="254">
        <v>1</v>
      </c>
      <c r="H43" s="254" t="s">
        <v>539</v>
      </c>
    </row>
    <row r="44" spans="2:9" x14ac:dyDescent="0.25">
      <c r="G44" s="254">
        <v>0</v>
      </c>
      <c r="H44" s="254" t="s">
        <v>540</v>
      </c>
    </row>
  </sheetData>
  <mergeCells count="45">
    <mergeCell ref="G6:I6"/>
    <mergeCell ref="B16:E16"/>
    <mergeCell ref="B17:E17"/>
    <mergeCell ref="B15:E15"/>
    <mergeCell ref="A2:E2"/>
    <mergeCell ref="C5:D5"/>
    <mergeCell ref="B7:E7"/>
    <mergeCell ref="B8:E8"/>
    <mergeCell ref="B9:E9"/>
    <mergeCell ref="B10:E10"/>
    <mergeCell ref="B11:E11"/>
    <mergeCell ref="B12:E12"/>
    <mergeCell ref="B13:E13"/>
    <mergeCell ref="B14:E14"/>
    <mergeCell ref="C4:D4"/>
    <mergeCell ref="B18:E18"/>
    <mergeCell ref="B19:E19"/>
    <mergeCell ref="B20:E20"/>
    <mergeCell ref="B21:E21"/>
    <mergeCell ref="B22:E22"/>
    <mergeCell ref="G31:I31"/>
    <mergeCell ref="B32:D32"/>
    <mergeCell ref="H32:I32"/>
    <mergeCell ref="B23:E23"/>
    <mergeCell ref="B24:E24"/>
    <mergeCell ref="B25:E25"/>
    <mergeCell ref="B28:E28"/>
    <mergeCell ref="B27:E27"/>
    <mergeCell ref="B26:E26"/>
    <mergeCell ref="B43:D43"/>
    <mergeCell ref="G4:I4"/>
    <mergeCell ref="G5:I5"/>
    <mergeCell ref="G39:I39"/>
    <mergeCell ref="B36:D36"/>
    <mergeCell ref="B37:D37"/>
    <mergeCell ref="B38:D38"/>
    <mergeCell ref="B39:D39"/>
    <mergeCell ref="B40:D40"/>
    <mergeCell ref="B33:D33"/>
    <mergeCell ref="H33:I33"/>
    <mergeCell ref="B34:D34"/>
    <mergeCell ref="H34:I34"/>
    <mergeCell ref="B35:D35"/>
    <mergeCell ref="B30:D30"/>
    <mergeCell ref="B31:D31"/>
  </mergeCells>
  <conditionalFormatting sqref="E5">
    <cfRule type="containsText" dxfId="86" priority="1" operator="containsText" text="Terminé">
      <formula>NOT(ISERROR(SEARCH("Terminé",E5)))</formula>
    </cfRule>
    <cfRule type="containsText" dxfId="85" priority="2" operator="containsText" text="En cours">
      <formula>NOT(ISERROR(SEARCH("En cours",E5)))</formula>
    </cfRule>
    <cfRule type="containsText" dxfId="84"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pageSetup paperSize="9" scale="9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4"/>
  <sheetViews>
    <sheetView zoomScaleNormal="100" zoomScaleSheetLayoutView="160"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3" ht="21" x14ac:dyDescent="0.35">
      <c r="A1" s="11" t="s">
        <v>87</v>
      </c>
      <c r="B1" s="11"/>
      <c r="C1" s="11"/>
      <c r="D1" s="11"/>
      <c r="E1" s="11"/>
    </row>
    <row r="2" spans="1:13" ht="26.25" x14ac:dyDescent="0.4">
      <c r="A2" s="856" t="s">
        <v>913</v>
      </c>
      <c r="B2" s="856"/>
      <c r="C2" s="856"/>
      <c r="D2" s="856"/>
      <c r="E2" s="856"/>
    </row>
    <row r="3" spans="1:13" ht="27" thickBot="1" x14ac:dyDescent="0.45">
      <c r="A3" s="107"/>
      <c r="B3" s="107"/>
      <c r="C3" s="107"/>
      <c r="D3" s="107"/>
      <c r="E3" s="107"/>
    </row>
    <row r="4" spans="1:13" ht="15.75" thickBot="1" x14ac:dyDescent="0.3">
      <c r="A4" s="12"/>
      <c r="B4" s="233" t="s">
        <v>469</v>
      </c>
      <c r="C4" s="851" t="s">
        <v>37</v>
      </c>
      <c r="D4" s="852"/>
      <c r="E4" s="175" t="s">
        <v>134</v>
      </c>
      <c r="G4" s="848" t="s">
        <v>914</v>
      </c>
      <c r="H4" s="848"/>
      <c r="I4" s="848"/>
    </row>
    <row r="5" spans="1:13" ht="15.75" x14ac:dyDescent="0.25">
      <c r="A5" s="381" t="s">
        <v>651</v>
      </c>
      <c r="B5" s="382" t="s">
        <v>50</v>
      </c>
      <c r="C5" s="820" t="s">
        <v>18</v>
      </c>
      <c r="D5" s="820"/>
      <c r="E5" s="232" t="s">
        <v>19</v>
      </c>
      <c r="G5" s="848" t="s">
        <v>915</v>
      </c>
      <c r="H5" s="848"/>
      <c r="I5" s="848"/>
    </row>
    <row r="6" spans="1:13" ht="16.5" thickBot="1" x14ac:dyDescent="0.3">
      <c r="A6" s="379" t="s">
        <v>660</v>
      </c>
      <c r="B6" s="380" t="s">
        <v>658</v>
      </c>
      <c r="C6" s="16"/>
      <c r="D6" s="16"/>
      <c r="E6" s="16"/>
      <c r="G6" s="850" t="s">
        <v>916</v>
      </c>
      <c r="H6" s="850"/>
      <c r="I6" s="850"/>
    </row>
    <row r="7" spans="1:13" ht="24" customHeight="1" thickBot="1" x14ac:dyDescent="0.3">
      <c r="A7" s="207" t="s">
        <v>1</v>
      </c>
      <c r="B7" s="820" t="s">
        <v>37</v>
      </c>
      <c r="C7" s="820"/>
      <c r="D7" s="820"/>
      <c r="E7" s="820"/>
    </row>
    <row r="8" spans="1:13" ht="24" customHeight="1" thickBot="1" x14ac:dyDescent="0.3">
      <c r="A8" s="207" t="s">
        <v>0</v>
      </c>
      <c r="B8" s="820" t="s">
        <v>133</v>
      </c>
      <c r="C8" s="820"/>
      <c r="D8" s="820"/>
      <c r="E8" s="820"/>
    </row>
    <row r="9" spans="1:13" ht="45" x14ac:dyDescent="0.25">
      <c r="A9" s="208" t="s">
        <v>2</v>
      </c>
      <c r="B9" s="890" t="s">
        <v>751</v>
      </c>
      <c r="C9" s="889"/>
      <c r="D9" s="889"/>
      <c r="E9" s="889"/>
      <c r="G9" s="116" t="s">
        <v>288</v>
      </c>
      <c r="H9" s="117" t="s">
        <v>289</v>
      </c>
      <c r="I9" s="117" t="s">
        <v>290</v>
      </c>
      <c r="J9" s="117" t="s">
        <v>291</v>
      </c>
      <c r="K9" s="117" t="s">
        <v>202</v>
      </c>
      <c r="L9" s="116" t="s">
        <v>212</v>
      </c>
      <c r="M9" s="116" t="s">
        <v>292</v>
      </c>
    </row>
    <row r="10" spans="1:13" ht="39" customHeight="1" x14ac:dyDescent="0.25">
      <c r="A10" s="208" t="s">
        <v>31</v>
      </c>
      <c r="B10" s="889" t="s">
        <v>767</v>
      </c>
      <c r="C10" s="889"/>
      <c r="D10" s="889"/>
      <c r="E10" s="889"/>
      <c r="G10" s="118">
        <v>100</v>
      </c>
      <c r="H10" s="119">
        <v>15490</v>
      </c>
      <c r="I10" s="119">
        <v>6</v>
      </c>
      <c r="J10" s="119">
        <v>1.6</v>
      </c>
      <c r="K10" s="119">
        <v>0.26100000000000001</v>
      </c>
      <c r="L10" s="118">
        <v>0.1</v>
      </c>
      <c r="M10" s="116">
        <v>200</v>
      </c>
    </row>
    <row r="11" spans="1:13" ht="30" customHeight="1" x14ac:dyDescent="0.25">
      <c r="A11" s="209" t="s">
        <v>16</v>
      </c>
      <c r="B11" s="874" t="s">
        <v>512</v>
      </c>
      <c r="C11" s="874"/>
      <c r="D11" s="874"/>
      <c r="E11" s="874"/>
      <c r="G11" s="136"/>
      <c r="H11" s="136"/>
      <c r="I11" s="137">
        <v>100</v>
      </c>
      <c r="J11" s="136"/>
      <c r="K11" s="136"/>
      <c r="L11" s="136"/>
    </row>
    <row r="12" spans="1:13" ht="30" customHeight="1" x14ac:dyDescent="0.25">
      <c r="A12" s="209" t="s">
        <v>3</v>
      </c>
      <c r="B12" s="874"/>
      <c r="C12" s="874"/>
      <c r="D12" s="874"/>
      <c r="E12" s="874"/>
      <c r="G12" s="136"/>
      <c r="H12" s="119" t="s">
        <v>293</v>
      </c>
      <c r="I12" s="136"/>
      <c r="K12" s="136"/>
      <c r="L12" s="136"/>
    </row>
    <row r="13" spans="1:13" ht="30" customHeight="1" x14ac:dyDescent="0.25">
      <c r="A13" s="209" t="s">
        <v>17</v>
      </c>
      <c r="B13" s="874"/>
      <c r="C13" s="874"/>
      <c r="D13" s="874"/>
      <c r="E13" s="874"/>
      <c r="G13" s="136"/>
      <c r="H13" s="119">
        <f>H10*I10/I11*G10</f>
        <v>92940</v>
      </c>
      <c r="I13" s="136"/>
      <c r="K13" s="136"/>
      <c r="L13" s="136"/>
    </row>
    <row r="14" spans="1:13" ht="30" customHeight="1" x14ac:dyDescent="0.25">
      <c r="A14" s="209" t="s">
        <v>4</v>
      </c>
      <c r="B14" s="874">
        <v>2015</v>
      </c>
      <c r="C14" s="874"/>
      <c r="D14" s="874"/>
      <c r="E14" s="874"/>
    </row>
    <row r="15" spans="1:13" ht="30" customHeight="1" x14ac:dyDescent="0.25">
      <c r="A15" s="209" t="s">
        <v>5</v>
      </c>
      <c r="B15" s="874">
        <v>2020</v>
      </c>
      <c r="C15" s="874"/>
      <c r="D15" s="874"/>
      <c r="E15" s="874"/>
    </row>
    <row r="16" spans="1:13" ht="30" customHeight="1" x14ac:dyDescent="0.25">
      <c r="A16" s="209" t="s">
        <v>6</v>
      </c>
      <c r="B16" s="845">
        <f>G10*M10</f>
        <v>20000</v>
      </c>
      <c r="C16" s="845"/>
      <c r="D16" s="845"/>
      <c r="E16" s="845"/>
    </row>
    <row r="17" spans="1:9" ht="30" customHeight="1" x14ac:dyDescent="0.25">
      <c r="A17" s="209" t="s">
        <v>7</v>
      </c>
      <c r="B17" s="845"/>
      <c r="C17" s="845"/>
      <c r="D17" s="845"/>
      <c r="E17" s="845"/>
    </row>
    <row r="18" spans="1:9" ht="30" customHeight="1" x14ac:dyDescent="0.25">
      <c r="A18" s="210" t="s">
        <v>468</v>
      </c>
      <c r="B18" s="868">
        <f>H13*L10*10</f>
        <v>92940</v>
      </c>
      <c r="C18" s="869"/>
      <c r="D18" s="869"/>
      <c r="E18" s="869"/>
      <c r="G18" s="2"/>
      <c r="H18" s="2"/>
    </row>
    <row r="19" spans="1:9" ht="30" customHeight="1" x14ac:dyDescent="0.25">
      <c r="A19" s="238" t="s">
        <v>467</v>
      </c>
      <c r="B19" s="870"/>
      <c r="C19" s="871"/>
      <c r="D19" s="871"/>
      <c r="E19" s="871"/>
      <c r="G19" s="2"/>
      <c r="H19" s="2"/>
    </row>
    <row r="20" spans="1:9" ht="30" customHeight="1" x14ac:dyDescent="0.25">
      <c r="A20" s="209" t="s">
        <v>8</v>
      </c>
      <c r="B20" s="845">
        <f>J10*H13*L10</f>
        <v>14870.400000000001</v>
      </c>
      <c r="C20" s="845"/>
      <c r="D20" s="845"/>
      <c r="E20" s="845"/>
    </row>
    <row r="21" spans="1:9" ht="30" customHeight="1" x14ac:dyDescent="0.25">
      <c r="A21" s="209" t="s">
        <v>9</v>
      </c>
      <c r="B21" s="845"/>
      <c r="C21" s="845"/>
      <c r="D21" s="845"/>
      <c r="E21" s="845"/>
    </row>
    <row r="22" spans="1:9" ht="30" customHeight="1" x14ac:dyDescent="0.25">
      <c r="A22" s="209" t="s">
        <v>465</v>
      </c>
      <c r="B22" s="846">
        <f>B16/(B20+B21)</f>
        <v>1.3449537335915642</v>
      </c>
      <c r="C22" s="846"/>
      <c r="D22" s="846"/>
      <c r="E22" s="846"/>
    </row>
    <row r="23" spans="1:9" ht="30" customHeight="1" x14ac:dyDescent="0.25">
      <c r="A23" s="209" t="s">
        <v>466</v>
      </c>
      <c r="B23" s="847">
        <f>(B16-B17)/(B20+B21)</f>
        <v>1.3449537335915642</v>
      </c>
      <c r="C23" s="847"/>
      <c r="D23" s="847"/>
      <c r="E23" s="847"/>
    </row>
    <row r="24" spans="1:9" ht="30" customHeight="1" x14ac:dyDescent="0.25">
      <c r="A24" s="211" t="s">
        <v>476</v>
      </c>
      <c r="B24" s="901">
        <f>B18/1000*K10</f>
        <v>24.257339999999999</v>
      </c>
      <c r="C24" s="901"/>
      <c r="D24" s="901"/>
      <c r="E24" s="901"/>
    </row>
    <row r="25" spans="1:9" ht="30" customHeight="1" x14ac:dyDescent="0.25">
      <c r="A25" s="212" t="s">
        <v>463</v>
      </c>
      <c r="B25" s="881">
        <f>B24/'Objectifs CO2'!C14</f>
        <v>0.11716867003366108</v>
      </c>
      <c r="C25" s="881"/>
      <c r="D25" s="881"/>
      <c r="E25" s="881"/>
    </row>
    <row r="26" spans="1:9" ht="30" customHeight="1" x14ac:dyDescent="0.25">
      <c r="A26" s="213" t="s">
        <v>464</v>
      </c>
      <c r="B26" s="881">
        <f>B24/'Objectifs CO2'!C8</f>
        <v>3.5150601010098324E-3</v>
      </c>
      <c r="C26" s="881"/>
      <c r="D26" s="881"/>
      <c r="E26" s="881"/>
    </row>
    <row r="27" spans="1:9" ht="30" customHeight="1" x14ac:dyDescent="0.25">
      <c r="A27" s="213" t="s">
        <v>24</v>
      </c>
      <c r="B27" s="853" t="s">
        <v>10</v>
      </c>
      <c r="C27" s="853"/>
      <c r="D27" s="853"/>
      <c r="E27" s="853"/>
    </row>
    <row r="28" spans="1:9" ht="30" customHeight="1" x14ac:dyDescent="0.25">
      <c r="A28" s="213" t="s">
        <v>418</v>
      </c>
      <c r="B28" s="853" t="s">
        <v>448</v>
      </c>
      <c r="C28" s="853"/>
      <c r="D28" s="853"/>
      <c r="E28" s="853"/>
    </row>
    <row r="30" spans="1:9" x14ac:dyDescent="0.25">
      <c r="B30" s="867" t="s">
        <v>530</v>
      </c>
      <c r="C30" s="867"/>
      <c r="D30" s="867"/>
      <c r="E30" s="143" t="s">
        <v>538</v>
      </c>
    </row>
    <row r="31" spans="1:9" x14ac:dyDescent="0.25">
      <c r="B31" s="864" t="s">
        <v>521</v>
      </c>
      <c r="C31" s="864"/>
      <c r="D31" s="864"/>
      <c r="E31" s="114"/>
      <c r="G31" s="866" t="s">
        <v>538</v>
      </c>
      <c r="H31" s="866"/>
      <c r="I31" s="866"/>
    </row>
    <row r="32" spans="1:9" x14ac:dyDescent="0.25">
      <c r="B32" s="864" t="s">
        <v>522</v>
      </c>
      <c r="C32" s="864"/>
      <c r="D32" s="864"/>
      <c r="E32" s="114"/>
      <c r="G32" s="252">
        <v>3</v>
      </c>
      <c r="H32" s="866" t="s">
        <v>535</v>
      </c>
      <c r="I32" s="866"/>
    </row>
    <row r="33" spans="2:9" x14ac:dyDescent="0.25">
      <c r="B33" s="864" t="s">
        <v>524</v>
      </c>
      <c r="C33" s="864"/>
      <c r="D33" s="864"/>
      <c r="E33" s="114"/>
      <c r="G33" s="252">
        <v>2</v>
      </c>
      <c r="H33" s="866" t="s">
        <v>536</v>
      </c>
      <c r="I33" s="866"/>
    </row>
    <row r="34" spans="2:9" x14ac:dyDescent="0.25">
      <c r="B34" s="864" t="s">
        <v>523</v>
      </c>
      <c r="C34" s="864"/>
      <c r="D34" s="864"/>
      <c r="E34" s="114"/>
      <c r="G34" s="252">
        <v>1</v>
      </c>
      <c r="H34" s="866" t="s">
        <v>537</v>
      </c>
      <c r="I34" s="866"/>
    </row>
    <row r="35" spans="2:9" x14ac:dyDescent="0.25">
      <c r="B35" s="864" t="s">
        <v>525</v>
      </c>
      <c r="C35" s="864"/>
      <c r="D35" s="864"/>
      <c r="E35" s="114"/>
    </row>
    <row r="36" spans="2:9" x14ac:dyDescent="0.25">
      <c r="B36" s="864" t="s">
        <v>526</v>
      </c>
      <c r="C36" s="864"/>
      <c r="D36" s="864"/>
      <c r="E36" s="114"/>
    </row>
    <row r="37" spans="2:9" x14ac:dyDescent="0.25">
      <c r="B37" s="864" t="s">
        <v>527</v>
      </c>
      <c r="C37" s="864"/>
      <c r="D37" s="864"/>
      <c r="E37" s="114"/>
    </row>
    <row r="38" spans="2:9" x14ac:dyDescent="0.25">
      <c r="B38" s="864" t="s">
        <v>528</v>
      </c>
      <c r="C38" s="864"/>
      <c r="D38" s="864"/>
      <c r="E38" s="114"/>
    </row>
    <row r="39" spans="2:9" x14ac:dyDescent="0.25">
      <c r="B39" s="864" t="s">
        <v>529</v>
      </c>
      <c r="C39" s="864"/>
      <c r="D39" s="864"/>
      <c r="E39" s="114"/>
      <c r="G39" s="863" t="s">
        <v>541</v>
      </c>
      <c r="H39" s="863"/>
      <c r="I39" s="863"/>
    </row>
    <row r="40" spans="2:9" x14ac:dyDescent="0.25">
      <c r="B40" s="865" t="s">
        <v>395</v>
      </c>
      <c r="C40" s="865"/>
      <c r="D40" s="865"/>
      <c r="E40" s="258">
        <f>SUM(E31:E39)</f>
        <v>0</v>
      </c>
      <c r="G40" s="254" t="s">
        <v>542</v>
      </c>
      <c r="H40" s="257" t="s">
        <v>543</v>
      </c>
      <c r="I40" s="254" t="s">
        <v>544</v>
      </c>
    </row>
    <row r="41" spans="2:9" x14ac:dyDescent="0.25">
      <c r="E41" s="202" t="s">
        <v>576</v>
      </c>
      <c r="G41" s="254" t="s">
        <v>545</v>
      </c>
      <c r="H41" s="254" t="s">
        <v>547</v>
      </c>
      <c r="I41" s="254" t="s">
        <v>546</v>
      </c>
    </row>
    <row r="43" spans="2:9" x14ac:dyDescent="0.25">
      <c r="B43" s="860" t="s">
        <v>520</v>
      </c>
      <c r="C43" s="861"/>
      <c r="D43" s="862"/>
      <c r="E43" s="251">
        <v>1</v>
      </c>
      <c r="G43" s="254">
        <v>1</v>
      </c>
      <c r="H43" s="254" t="s">
        <v>539</v>
      </c>
    </row>
    <row r="44" spans="2:9" x14ac:dyDescent="0.25">
      <c r="G44" s="254">
        <v>0</v>
      </c>
      <c r="H44" s="254" t="s">
        <v>540</v>
      </c>
    </row>
  </sheetData>
  <mergeCells count="45">
    <mergeCell ref="G6:I6"/>
    <mergeCell ref="B16:E16"/>
    <mergeCell ref="B17:E17"/>
    <mergeCell ref="B15:E15"/>
    <mergeCell ref="A2:E2"/>
    <mergeCell ref="C5:D5"/>
    <mergeCell ref="B7:E7"/>
    <mergeCell ref="B8:E8"/>
    <mergeCell ref="B9:E9"/>
    <mergeCell ref="B10:E10"/>
    <mergeCell ref="B11:E11"/>
    <mergeCell ref="B12:E12"/>
    <mergeCell ref="B13:E13"/>
    <mergeCell ref="B14:E14"/>
    <mergeCell ref="C4:D4"/>
    <mergeCell ref="B18:E18"/>
    <mergeCell ref="B19:E19"/>
    <mergeCell ref="B20:E20"/>
    <mergeCell ref="B21:E21"/>
    <mergeCell ref="B22:E22"/>
    <mergeCell ref="G31:I31"/>
    <mergeCell ref="B32:D32"/>
    <mergeCell ref="H32:I32"/>
    <mergeCell ref="B23:E23"/>
    <mergeCell ref="B24:E24"/>
    <mergeCell ref="B25:E25"/>
    <mergeCell ref="B28:E28"/>
    <mergeCell ref="B27:E27"/>
    <mergeCell ref="B26:E26"/>
    <mergeCell ref="B43:D43"/>
    <mergeCell ref="G4:I4"/>
    <mergeCell ref="G5:I5"/>
    <mergeCell ref="G39:I39"/>
    <mergeCell ref="B36:D36"/>
    <mergeCell ref="B37:D37"/>
    <mergeCell ref="B38:D38"/>
    <mergeCell ref="B39:D39"/>
    <mergeCell ref="B40:D40"/>
    <mergeCell ref="B33:D33"/>
    <mergeCell ref="H33:I33"/>
    <mergeCell ref="B34:D34"/>
    <mergeCell ref="H34:I34"/>
    <mergeCell ref="B35:D35"/>
    <mergeCell ref="B30:D30"/>
    <mergeCell ref="B31:D31"/>
  </mergeCells>
  <conditionalFormatting sqref="E5">
    <cfRule type="containsText" dxfId="83" priority="1" operator="containsText" text="Terminé">
      <formula>NOT(ISERROR(SEARCH("Terminé",E5)))</formula>
    </cfRule>
    <cfRule type="containsText" dxfId="82" priority="2" operator="containsText" text="En cours">
      <formula>NOT(ISERROR(SEARCH("En cours",E5)))</formula>
    </cfRule>
    <cfRule type="containsText" dxfId="81"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pageSetup paperSize="9" scale="9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4"/>
  <sheetViews>
    <sheetView topLeftCell="A3" zoomScaleNormal="100" zoomScaleSheetLayoutView="145"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2" ht="21" x14ac:dyDescent="0.35">
      <c r="A1" s="11" t="s">
        <v>87</v>
      </c>
      <c r="B1" s="11"/>
      <c r="C1" s="11"/>
      <c r="D1" s="11"/>
      <c r="E1" s="11"/>
    </row>
    <row r="2" spans="1:12" ht="26.25" x14ac:dyDescent="0.4">
      <c r="A2" s="856" t="s">
        <v>913</v>
      </c>
      <c r="B2" s="856"/>
      <c r="C2" s="856"/>
      <c r="D2" s="856"/>
      <c r="E2" s="856"/>
    </row>
    <row r="3" spans="1:12" ht="27" thickBot="1" x14ac:dyDescent="0.45">
      <c r="A3" s="107"/>
      <c r="B3" s="107"/>
      <c r="C3" s="107"/>
      <c r="D3" s="107"/>
      <c r="E3" s="107"/>
    </row>
    <row r="4" spans="1:12" ht="15.75" thickBot="1" x14ac:dyDescent="0.3">
      <c r="A4" s="12"/>
      <c r="B4" s="233" t="s">
        <v>469</v>
      </c>
      <c r="C4" s="851" t="s">
        <v>37</v>
      </c>
      <c r="D4" s="852"/>
      <c r="E4" s="175" t="s">
        <v>143</v>
      </c>
      <c r="G4" s="848" t="s">
        <v>914</v>
      </c>
      <c r="H4" s="848"/>
      <c r="I4" s="848"/>
    </row>
    <row r="5" spans="1:12" ht="15.75" x14ac:dyDescent="0.25">
      <c r="A5" s="381" t="s">
        <v>651</v>
      </c>
      <c r="B5" s="382" t="s">
        <v>659</v>
      </c>
      <c r="C5" s="820" t="s">
        <v>18</v>
      </c>
      <c r="D5" s="820"/>
      <c r="E5" s="232" t="s">
        <v>20</v>
      </c>
      <c r="G5" s="848" t="s">
        <v>915</v>
      </c>
      <c r="H5" s="848"/>
      <c r="I5" s="848"/>
    </row>
    <row r="6" spans="1:12" ht="16.5" thickBot="1" x14ac:dyDescent="0.3">
      <c r="A6" s="379" t="s">
        <v>660</v>
      </c>
      <c r="B6" s="380" t="s">
        <v>658</v>
      </c>
      <c r="C6" s="16"/>
      <c r="D6" s="16"/>
      <c r="E6" s="16"/>
      <c r="G6" s="850" t="s">
        <v>916</v>
      </c>
      <c r="H6" s="850"/>
      <c r="I6" s="850"/>
    </row>
    <row r="7" spans="1:12" ht="24" customHeight="1" thickBot="1" x14ac:dyDescent="0.3">
      <c r="A7" s="207" t="s">
        <v>1</v>
      </c>
      <c r="B7" s="820" t="s">
        <v>37</v>
      </c>
      <c r="C7" s="820"/>
      <c r="D7" s="820"/>
      <c r="E7" s="820"/>
    </row>
    <row r="8" spans="1:12" ht="24" customHeight="1" thickBot="1" x14ac:dyDescent="0.3">
      <c r="A8" s="207" t="s">
        <v>0</v>
      </c>
      <c r="B8" s="820" t="s">
        <v>135</v>
      </c>
      <c r="C8" s="820"/>
      <c r="D8" s="820"/>
      <c r="E8" s="820"/>
      <c r="G8" s="37" t="s">
        <v>137</v>
      </c>
      <c r="H8" s="37" t="s">
        <v>138</v>
      </c>
      <c r="I8" s="108" t="s">
        <v>139</v>
      </c>
    </row>
    <row r="9" spans="1:12" ht="60.75" customHeight="1" x14ac:dyDescent="0.25">
      <c r="A9" s="208" t="s">
        <v>2</v>
      </c>
      <c r="B9" s="890" t="s">
        <v>729</v>
      </c>
      <c r="C9" s="889"/>
      <c r="D9" s="889"/>
      <c r="E9" s="889"/>
      <c r="G9" s="118" t="s">
        <v>137</v>
      </c>
      <c r="H9" s="118" t="s">
        <v>294</v>
      </c>
      <c r="I9" s="119" t="s">
        <v>139</v>
      </c>
      <c r="J9" s="119" t="s">
        <v>295</v>
      </c>
      <c r="K9" s="117" t="s">
        <v>291</v>
      </c>
      <c r="L9" s="117" t="s">
        <v>202</v>
      </c>
    </row>
    <row r="10" spans="1:12" ht="29.25" customHeight="1" x14ac:dyDescent="0.25">
      <c r="A10" s="208" t="s">
        <v>31</v>
      </c>
      <c r="B10" s="889"/>
      <c r="C10" s="889"/>
      <c r="D10" s="889"/>
      <c r="E10" s="889"/>
      <c r="G10" s="118">
        <v>300</v>
      </c>
      <c r="H10" s="118">
        <v>80</v>
      </c>
      <c r="I10" s="119">
        <v>6</v>
      </c>
      <c r="J10" s="119">
        <v>215</v>
      </c>
      <c r="K10" s="119">
        <v>1.6</v>
      </c>
      <c r="L10" s="119">
        <v>0.26100000000000001</v>
      </c>
    </row>
    <row r="11" spans="1:12" ht="30" customHeight="1" x14ac:dyDescent="0.25">
      <c r="A11" s="209" t="s">
        <v>16</v>
      </c>
      <c r="B11" s="874" t="s">
        <v>512</v>
      </c>
      <c r="C11" s="874"/>
      <c r="D11" s="874"/>
      <c r="E11" s="874"/>
      <c r="G11" s="136"/>
      <c r="H11" s="136"/>
      <c r="I11" s="119">
        <v>100</v>
      </c>
      <c r="J11" s="136"/>
      <c r="K11" s="136"/>
      <c r="L11" s="136"/>
    </row>
    <row r="12" spans="1:12" ht="30" customHeight="1" x14ac:dyDescent="0.25">
      <c r="A12" s="209" t="s">
        <v>3</v>
      </c>
      <c r="B12" s="874"/>
      <c r="C12" s="874"/>
      <c r="D12" s="874"/>
      <c r="E12" s="874"/>
      <c r="G12" s="136"/>
      <c r="H12" s="136"/>
      <c r="I12" s="136"/>
      <c r="J12" s="136"/>
      <c r="K12" s="136"/>
      <c r="L12" s="136"/>
    </row>
    <row r="13" spans="1:12" ht="30" customHeight="1" x14ac:dyDescent="0.25">
      <c r="A13" s="209" t="s">
        <v>17</v>
      </c>
      <c r="B13" s="874"/>
      <c r="C13" s="874"/>
      <c r="D13" s="874"/>
      <c r="E13" s="874"/>
      <c r="G13" s="136"/>
      <c r="H13" s="136"/>
      <c r="I13" s="136"/>
      <c r="J13" s="136"/>
      <c r="K13" s="136"/>
      <c r="L13" s="136"/>
    </row>
    <row r="14" spans="1:12" ht="30" customHeight="1" x14ac:dyDescent="0.25">
      <c r="A14" s="209" t="s">
        <v>4</v>
      </c>
      <c r="B14" s="874">
        <v>2015</v>
      </c>
      <c r="C14" s="874"/>
      <c r="D14" s="874"/>
      <c r="E14" s="874"/>
      <c r="G14" s="119" t="s">
        <v>140</v>
      </c>
      <c r="H14" s="119">
        <f>G10*0.75*H10*J10</f>
        <v>3870000</v>
      </c>
      <c r="I14" s="136"/>
      <c r="J14" s="136"/>
      <c r="K14" s="136"/>
      <c r="L14" s="136"/>
    </row>
    <row r="15" spans="1:12" ht="30" customHeight="1" x14ac:dyDescent="0.25">
      <c r="A15" s="209" t="s">
        <v>5</v>
      </c>
      <c r="B15" s="874">
        <v>2020</v>
      </c>
      <c r="C15" s="874"/>
      <c r="D15" s="874"/>
      <c r="E15" s="874"/>
      <c r="G15" s="119" t="s">
        <v>136</v>
      </c>
      <c r="H15" s="119">
        <f>H14*I10/I11</f>
        <v>232200</v>
      </c>
      <c r="I15" s="136"/>
      <c r="J15" s="136"/>
      <c r="K15" s="136"/>
      <c r="L15" s="136"/>
    </row>
    <row r="16" spans="1:12" ht="30" customHeight="1" x14ac:dyDescent="0.25">
      <c r="A16" s="209" t="s">
        <v>6</v>
      </c>
      <c r="B16" s="931">
        <v>0</v>
      </c>
      <c r="C16" s="931"/>
      <c r="D16" s="931"/>
      <c r="E16" s="931"/>
    </row>
    <row r="17" spans="1:9" ht="30" customHeight="1" x14ac:dyDescent="0.25">
      <c r="A17" s="209" t="s">
        <v>7</v>
      </c>
      <c r="B17" s="931">
        <v>0</v>
      </c>
      <c r="C17" s="931"/>
      <c r="D17" s="931"/>
      <c r="E17" s="931"/>
    </row>
    <row r="18" spans="1:9" ht="30" customHeight="1" x14ac:dyDescent="0.25">
      <c r="A18" s="210" t="s">
        <v>468</v>
      </c>
      <c r="B18" s="868">
        <f>H15*10</f>
        <v>2322000</v>
      </c>
      <c r="C18" s="869"/>
      <c r="D18" s="869"/>
      <c r="E18" s="869"/>
      <c r="G18" s="2"/>
      <c r="H18" s="2"/>
    </row>
    <row r="19" spans="1:9" ht="30" customHeight="1" x14ac:dyDescent="0.25">
      <c r="A19" s="238" t="s">
        <v>467</v>
      </c>
      <c r="B19" s="870"/>
      <c r="C19" s="871"/>
      <c r="D19" s="871"/>
      <c r="E19" s="871"/>
      <c r="G19" s="2"/>
      <c r="H19" s="2"/>
    </row>
    <row r="20" spans="1:9" ht="30" customHeight="1" x14ac:dyDescent="0.25">
      <c r="A20" s="209" t="s">
        <v>8</v>
      </c>
      <c r="B20" s="845">
        <f>H15*K10</f>
        <v>371520</v>
      </c>
      <c r="C20" s="845"/>
      <c r="D20" s="845"/>
      <c r="E20" s="845"/>
    </row>
    <row r="21" spans="1:9" ht="30" customHeight="1" x14ac:dyDescent="0.25">
      <c r="A21" s="209" t="s">
        <v>9</v>
      </c>
      <c r="B21" s="845"/>
      <c r="C21" s="845"/>
      <c r="D21" s="845"/>
      <c r="E21" s="845"/>
    </row>
    <row r="22" spans="1:9" ht="30" customHeight="1" x14ac:dyDescent="0.25">
      <c r="A22" s="209" t="s">
        <v>465</v>
      </c>
      <c r="B22" s="846">
        <f>B16/(B20+B21)</f>
        <v>0</v>
      </c>
      <c r="C22" s="846"/>
      <c r="D22" s="846"/>
      <c r="E22" s="846"/>
    </row>
    <row r="23" spans="1:9" ht="30" customHeight="1" x14ac:dyDescent="0.25">
      <c r="A23" s="209" t="s">
        <v>466</v>
      </c>
      <c r="B23" s="847">
        <f>(B16-B17)/(B20+B21)</f>
        <v>0</v>
      </c>
      <c r="C23" s="847"/>
      <c r="D23" s="847"/>
      <c r="E23" s="847"/>
    </row>
    <row r="24" spans="1:9" ht="30" customHeight="1" x14ac:dyDescent="0.25">
      <c r="A24" s="211" t="s">
        <v>476</v>
      </c>
      <c r="B24" s="901">
        <f>B18/1000*L10</f>
        <v>606.04200000000003</v>
      </c>
      <c r="C24" s="901"/>
      <c r="D24" s="901"/>
      <c r="E24" s="901"/>
    </row>
    <row r="25" spans="1:9" ht="30" customHeight="1" x14ac:dyDescent="0.25">
      <c r="A25" s="212" t="s">
        <v>463</v>
      </c>
      <c r="B25" s="881">
        <f>B24/'Objectifs CO2'!C14</f>
        <v>2.9273257135588664</v>
      </c>
      <c r="C25" s="881"/>
      <c r="D25" s="881"/>
      <c r="E25" s="881"/>
    </row>
    <row r="26" spans="1:9" ht="30" customHeight="1" x14ac:dyDescent="0.25">
      <c r="A26" s="213" t="s">
        <v>464</v>
      </c>
      <c r="B26" s="881">
        <f>B24/'Objectifs CO2'!C8</f>
        <v>8.7819771406765987E-2</v>
      </c>
      <c r="C26" s="881"/>
      <c r="D26" s="881"/>
      <c r="E26" s="881"/>
    </row>
    <row r="27" spans="1:9" ht="30" customHeight="1" x14ac:dyDescent="0.25">
      <c r="A27" s="213" t="s">
        <v>24</v>
      </c>
      <c r="B27" s="853" t="s">
        <v>10</v>
      </c>
      <c r="C27" s="853"/>
      <c r="D27" s="853"/>
      <c r="E27" s="853"/>
    </row>
    <row r="28" spans="1:9" ht="30" customHeight="1" x14ac:dyDescent="0.25">
      <c r="A28" s="213" t="s">
        <v>418</v>
      </c>
      <c r="B28" s="853" t="s">
        <v>843</v>
      </c>
      <c r="C28" s="853"/>
      <c r="D28" s="853"/>
      <c r="E28" s="853"/>
      <c r="F28" s="37" t="s">
        <v>449</v>
      </c>
    </row>
    <row r="30" spans="1:9" x14ac:dyDescent="0.25">
      <c r="B30" s="867" t="s">
        <v>530</v>
      </c>
      <c r="C30" s="867"/>
      <c r="D30" s="867"/>
      <c r="E30" s="143" t="s">
        <v>538</v>
      </c>
    </row>
    <row r="31" spans="1:9" x14ac:dyDescent="0.25">
      <c r="B31" s="864" t="s">
        <v>521</v>
      </c>
      <c r="C31" s="864"/>
      <c r="D31" s="864"/>
      <c r="E31" s="114"/>
      <c r="G31" s="866" t="s">
        <v>538</v>
      </c>
      <c r="H31" s="866"/>
      <c r="I31" s="866"/>
    </row>
    <row r="32" spans="1:9" x14ac:dyDescent="0.25">
      <c r="B32" s="864" t="s">
        <v>522</v>
      </c>
      <c r="C32" s="864"/>
      <c r="D32" s="864"/>
      <c r="E32" s="114"/>
      <c r="G32" s="252">
        <v>3</v>
      </c>
      <c r="H32" s="866" t="s">
        <v>535</v>
      </c>
      <c r="I32" s="866"/>
    </row>
    <row r="33" spans="2:9" x14ac:dyDescent="0.25">
      <c r="B33" s="864" t="s">
        <v>524</v>
      </c>
      <c r="C33" s="864"/>
      <c r="D33" s="864"/>
      <c r="E33" s="114"/>
      <c r="G33" s="252">
        <v>2</v>
      </c>
      <c r="H33" s="866" t="s">
        <v>536</v>
      </c>
      <c r="I33" s="866"/>
    </row>
    <row r="34" spans="2:9" x14ac:dyDescent="0.25">
      <c r="B34" s="864" t="s">
        <v>523</v>
      </c>
      <c r="C34" s="864"/>
      <c r="D34" s="864"/>
      <c r="E34" s="114"/>
      <c r="G34" s="252">
        <v>1</v>
      </c>
      <c r="H34" s="866" t="s">
        <v>537</v>
      </c>
      <c r="I34" s="866"/>
    </row>
    <row r="35" spans="2:9" x14ac:dyDescent="0.25">
      <c r="B35" s="864" t="s">
        <v>525</v>
      </c>
      <c r="C35" s="864"/>
      <c r="D35" s="864"/>
      <c r="E35" s="114"/>
    </row>
    <row r="36" spans="2:9" x14ac:dyDescent="0.25">
      <c r="B36" s="864" t="s">
        <v>526</v>
      </c>
      <c r="C36" s="864"/>
      <c r="D36" s="864"/>
      <c r="E36" s="114"/>
    </row>
    <row r="37" spans="2:9" x14ac:dyDescent="0.25">
      <c r="B37" s="864" t="s">
        <v>527</v>
      </c>
      <c r="C37" s="864"/>
      <c r="D37" s="864"/>
      <c r="E37" s="114"/>
    </row>
    <row r="38" spans="2:9" x14ac:dyDescent="0.25">
      <c r="B38" s="864" t="s">
        <v>528</v>
      </c>
      <c r="C38" s="864"/>
      <c r="D38" s="864"/>
      <c r="E38" s="114"/>
    </row>
    <row r="39" spans="2:9" x14ac:dyDescent="0.25">
      <c r="B39" s="864" t="s">
        <v>529</v>
      </c>
      <c r="C39" s="864"/>
      <c r="D39" s="864"/>
      <c r="E39" s="114"/>
      <c r="G39" s="863" t="s">
        <v>541</v>
      </c>
      <c r="H39" s="863"/>
      <c r="I39" s="863"/>
    </row>
    <row r="40" spans="2:9" x14ac:dyDescent="0.25">
      <c r="B40" s="865" t="s">
        <v>395</v>
      </c>
      <c r="C40" s="865"/>
      <c r="D40" s="865"/>
      <c r="E40" s="258">
        <f>SUM(E31:E39)</f>
        <v>0</v>
      </c>
      <c r="G40" s="254" t="s">
        <v>542</v>
      </c>
      <c r="H40" s="257" t="s">
        <v>543</v>
      </c>
      <c r="I40" s="254" t="s">
        <v>544</v>
      </c>
    </row>
    <row r="41" spans="2:9" x14ac:dyDescent="0.25">
      <c r="E41" s="202" t="s">
        <v>576</v>
      </c>
      <c r="G41" s="254" t="s">
        <v>545</v>
      </c>
      <c r="H41" s="254" t="s">
        <v>547</v>
      </c>
      <c r="I41" s="254" t="s">
        <v>546</v>
      </c>
    </row>
    <row r="43" spans="2:9" x14ac:dyDescent="0.25">
      <c r="B43" s="860" t="s">
        <v>520</v>
      </c>
      <c r="C43" s="861"/>
      <c r="D43" s="862"/>
      <c r="E43" s="251">
        <v>1</v>
      </c>
      <c r="G43" s="254">
        <v>1</v>
      </c>
      <c r="H43" s="254" t="s">
        <v>539</v>
      </c>
    </row>
    <row r="44" spans="2:9" x14ac:dyDescent="0.25">
      <c r="G44" s="254">
        <v>0</v>
      </c>
      <c r="H44" s="254" t="s">
        <v>540</v>
      </c>
    </row>
  </sheetData>
  <mergeCells count="45">
    <mergeCell ref="G6:I6"/>
    <mergeCell ref="B16:E16"/>
    <mergeCell ref="B17:E17"/>
    <mergeCell ref="B15:E15"/>
    <mergeCell ref="A2:E2"/>
    <mergeCell ref="C5:D5"/>
    <mergeCell ref="B7:E7"/>
    <mergeCell ref="B8:E8"/>
    <mergeCell ref="B9:E9"/>
    <mergeCell ref="B10:E10"/>
    <mergeCell ref="B11:E11"/>
    <mergeCell ref="B12:E12"/>
    <mergeCell ref="B13:E13"/>
    <mergeCell ref="B14:E14"/>
    <mergeCell ref="C4:D4"/>
    <mergeCell ref="B18:E18"/>
    <mergeCell ref="B19:E19"/>
    <mergeCell ref="B20:E20"/>
    <mergeCell ref="B21:E21"/>
    <mergeCell ref="B22:E22"/>
    <mergeCell ref="G31:I31"/>
    <mergeCell ref="B32:D32"/>
    <mergeCell ref="H32:I32"/>
    <mergeCell ref="B23:E23"/>
    <mergeCell ref="B24:E24"/>
    <mergeCell ref="B25:E25"/>
    <mergeCell ref="B28:E28"/>
    <mergeCell ref="B27:E27"/>
    <mergeCell ref="B26:E26"/>
    <mergeCell ref="B43:D43"/>
    <mergeCell ref="G4:I4"/>
    <mergeCell ref="G5:I5"/>
    <mergeCell ref="G39:I39"/>
    <mergeCell ref="B36:D36"/>
    <mergeCell ref="B37:D37"/>
    <mergeCell ref="B38:D38"/>
    <mergeCell ref="B39:D39"/>
    <mergeCell ref="B40:D40"/>
    <mergeCell ref="B33:D33"/>
    <mergeCell ref="H33:I33"/>
    <mergeCell ref="B34:D34"/>
    <mergeCell ref="H34:I34"/>
    <mergeCell ref="B35:D35"/>
    <mergeCell ref="B30:D30"/>
    <mergeCell ref="B31:D31"/>
  </mergeCells>
  <conditionalFormatting sqref="E5">
    <cfRule type="containsText" dxfId="80" priority="1" operator="containsText" text="Terminé">
      <formula>NOT(ISERROR(SEARCH("Terminé",E5)))</formula>
    </cfRule>
    <cfRule type="containsText" dxfId="79" priority="2" operator="containsText" text="En cours">
      <formula>NOT(ISERROR(SEARCH("En cours",E5)))</formula>
    </cfRule>
    <cfRule type="containsText" dxfId="78"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pageSetup paperSize="9" scale="9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4"/>
  <sheetViews>
    <sheetView topLeftCell="B7" zoomScaleNormal="100" zoomScaleSheetLayoutView="220"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2" ht="21" x14ac:dyDescent="0.35">
      <c r="A1" s="11" t="s">
        <v>87</v>
      </c>
      <c r="B1" s="11"/>
      <c r="C1" s="11"/>
      <c r="D1" s="11"/>
      <c r="E1" s="11"/>
    </row>
    <row r="2" spans="1:12" ht="26.25" x14ac:dyDescent="0.4">
      <c r="A2" s="856" t="s">
        <v>913</v>
      </c>
      <c r="B2" s="856"/>
      <c r="C2" s="856"/>
      <c r="D2" s="856"/>
      <c r="E2" s="856"/>
    </row>
    <row r="3" spans="1:12" ht="27" thickBot="1" x14ac:dyDescent="0.45">
      <c r="A3" s="358"/>
      <c r="B3" s="358"/>
      <c r="C3" s="358"/>
      <c r="D3" s="358"/>
      <c r="E3" s="358"/>
    </row>
    <row r="4" spans="1:12" ht="15.75" thickBot="1" x14ac:dyDescent="0.3">
      <c r="A4" s="12"/>
      <c r="B4" s="233" t="s">
        <v>469</v>
      </c>
      <c r="C4" s="851" t="s">
        <v>37</v>
      </c>
      <c r="D4" s="852"/>
      <c r="E4" s="175" t="s">
        <v>716</v>
      </c>
      <c r="G4" s="848" t="s">
        <v>914</v>
      </c>
      <c r="H4" s="848"/>
      <c r="I4" s="848"/>
    </row>
    <row r="5" spans="1:12" ht="15.75" x14ac:dyDescent="0.25">
      <c r="A5" s="381" t="s">
        <v>651</v>
      </c>
      <c r="B5" s="382" t="s">
        <v>50</v>
      </c>
      <c r="C5" s="820" t="s">
        <v>18</v>
      </c>
      <c r="D5" s="820"/>
      <c r="E5" s="232" t="s">
        <v>19</v>
      </c>
      <c r="G5" s="848" t="s">
        <v>915</v>
      </c>
      <c r="H5" s="848"/>
      <c r="I5" s="848"/>
    </row>
    <row r="6" spans="1:12" ht="16.5" thickBot="1" x14ac:dyDescent="0.3">
      <c r="A6" s="379" t="s">
        <v>660</v>
      </c>
      <c r="B6" s="380" t="s">
        <v>658</v>
      </c>
      <c r="C6" s="16"/>
      <c r="D6" s="16"/>
      <c r="E6" s="16"/>
      <c r="G6" s="850" t="s">
        <v>916</v>
      </c>
      <c r="H6" s="850"/>
      <c r="I6" s="850"/>
    </row>
    <row r="7" spans="1:12" ht="24" customHeight="1" thickBot="1" x14ac:dyDescent="0.3">
      <c r="A7" s="207" t="s">
        <v>1</v>
      </c>
      <c r="B7" s="820" t="s">
        <v>37</v>
      </c>
      <c r="C7" s="820"/>
      <c r="D7" s="820"/>
      <c r="E7" s="820"/>
    </row>
    <row r="8" spans="1:12" ht="24" customHeight="1" thickBot="1" x14ac:dyDescent="0.3">
      <c r="A8" s="207" t="s">
        <v>0</v>
      </c>
      <c r="B8" s="820" t="s">
        <v>715</v>
      </c>
      <c r="C8" s="820"/>
      <c r="D8" s="820"/>
      <c r="E8" s="820"/>
      <c r="I8" s="108"/>
    </row>
    <row r="9" spans="1:12" ht="53.25" customHeight="1" x14ac:dyDescent="0.25">
      <c r="A9" s="208" t="s">
        <v>2</v>
      </c>
      <c r="B9" s="890" t="s">
        <v>730</v>
      </c>
      <c r="C9" s="889"/>
      <c r="D9" s="889"/>
      <c r="E9" s="889"/>
      <c r="G9" s="361"/>
      <c r="H9" s="361"/>
      <c r="I9" s="360"/>
      <c r="J9" s="360"/>
      <c r="K9" s="117"/>
      <c r="L9" s="117"/>
    </row>
    <row r="10" spans="1:12" ht="15.75" x14ac:dyDescent="0.25">
      <c r="A10" s="208" t="s">
        <v>31</v>
      </c>
      <c r="B10" s="889"/>
      <c r="C10" s="889"/>
      <c r="D10" s="889"/>
      <c r="E10" s="889"/>
      <c r="G10" s="361"/>
      <c r="H10" s="361"/>
      <c r="I10" s="360"/>
      <c r="J10" s="360"/>
      <c r="K10" s="360"/>
      <c r="L10" s="360"/>
    </row>
    <row r="11" spans="1:12" ht="30" customHeight="1" x14ac:dyDescent="0.25">
      <c r="A11" s="209" t="s">
        <v>16</v>
      </c>
      <c r="B11" s="874" t="s">
        <v>86</v>
      </c>
      <c r="C11" s="874"/>
      <c r="D11" s="874"/>
      <c r="E11" s="874"/>
      <c r="G11" s="362"/>
      <c r="H11" s="362"/>
      <c r="I11" s="360"/>
      <c r="J11" s="362"/>
      <c r="K11" s="362"/>
      <c r="L11" s="362"/>
    </row>
    <row r="12" spans="1:12" ht="30" customHeight="1" x14ac:dyDescent="0.25">
      <c r="A12" s="209" t="s">
        <v>3</v>
      </c>
      <c r="B12" s="874"/>
      <c r="C12" s="874"/>
      <c r="D12" s="874"/>
      <c r="E12" s="874"/>
      <c r="G12" s="362"/>
      <c r="H12" s="362"/>
      <c r="I12" s="362"/>
      <c r="J12" s="362"/>
      <c r="K12" s="362"/>
      <c r="L12" s="362"/>
    </row>
    <row r="13" spans="1:12" ht="30" customHeight="1" x14ac:dyDescent="0.25">
      <c r="A13" s="209" t="s">
        <v>17</v>
      </c>
      <c r="B13" s="874"/>
      <c r="C13" s="874"/>
      <c r="D13" s="874"/>
      <c r="E13" s="874"/>
      <c r="G13" s="362"/>
      <c r="H13" s="362"/>
      <c r="I13" s="362"/>
      <c r="J13" s="362"/>
      <c r="K13" s="362"/>
      <c r="L13" s="362"/>
    </row>
    <row r="14" spans="1:12" ht="30" customHeight="1" x14ac:dyDescent="0.25">
      <c r="A14" s="209" t="s">
        <v>4</v>
      </c>
      <c r="B14" s="874">
        <v>2015</v>
      </c>
      <c r="C14" s="874"/>
      <c r="D14" s="874"/>
      <c r="E14" s="874"/>
      <c r="G14" s="360"/>
      <c r="H14" s="360"/>
      <c r="I14" s="362"/>
      <c r="J14" s="362"/>
      <c r="K14" s="362"/>
      <c r="L14" s="362"/>
    </row>
    <row r="15" spans="1:12" ht="30" customHeight="1" x14ac:dyDescent="0.25">
      <c r="A15" s="209" t="s">
        <v>5</v>
      </c>
      <c r="B15" s="874">
        <v>2020</v>
      </c>
      <c r="C15" s="874"/>
      <c r="D15" s="874"/>
      <c r="E15" s="874"/>
      <c r="G15" s="360"/>
      <c r="H15" s="360"/>
      <c r="I15" s="362"/>
      <c r="J15" s="362"/>
      <c r="K15" s="362"/>
      <c r="L15" s="362"/>
    </row>
    <row r="16" spans="1:12" ht="30" customHeight="1" x14ac:dyDescent="0.25">
      <c r="A16" s="209" t="s">
        <v>6</v>
      </c>
      <c r="B16" s="859">
        <v>50000</v>
      </c>
      <c r="C16" s="859"/>
      <c r="D16" s="859"/>
      <c r="E16" s="859"/>
    </row>
    <row r="17" spans="1:9" ht="30" customHeight="1" x14ac:dyDescent="0.25">
      <c r="A17" s="209" t="s">
        <v>7</v>
      </c>
      <c r="B17" s="859">
        <v>0</v>
      </c>
      <c r="C17" s="859"/>
      <c r="D17" s="859"/>
      <c r="E17" s="859"/>
    </row>
    <row r="18" spans="1:9" ht="30" customHeight="1" x14ac:dyDescent="0.25">
      <c r="A18" s="210" t="s">
        <v>468</v>
      </c>
      <c r="B18" s="868">
        <f>H15*10</f>
        <v>0</v>
      </c>
      <c r="C18" s="869"/>
      <c r="D18" s="869"/>
      <c r="E18" s="869"/>
      <c r="G18" s="2"/>
      <c r="H18" s="2"/>
    </row>
    <row r="19" spans="1:9" ht="30" customHeight="1" x14ac:dyDescent="0.25">
      <c r="A19" s="238" t="s">
        <v>467</v>
      </c>
      <c r="B19" s="870"/>
      <c r="C19" s="871"/>
      <c r="D19" s="871"/>
      <c r="E19" s="871"/>
      <c r="G19" s="2"/>
      <c r="H19" s="2"/>
    </row>
    <row r="20" spans="1:9" ht="30" customHeight="1" x14ac:dyDescent="0.25">
      <c r="A20" s="209" t="s">
        <v>8</v>
      </c>
      <c r="B20" s="845">
        <v>1</v>
      </c>
      <c r="C20" s="845"/>
      <c r="D20" s="845"/>
      <c r="E20" s="845"/>
    </row>
    <row r="21" spans="1:9" ht="30" customHeight="1" x14ac:dyDescent="0.25">
      <c r="A21" s="209" t="s">
        <v>9</v>
      </c>
      <c r="B21" s="845"/>
      <c r="C21" s="845"/>
      <c r="D21" s="845"/>
      <c r="E21" s="845"/>
    </row>
    <row r="22" spans="1:9" ht="30" customHeight="1" x14ac:dyDescent="0.25">
      <c r="A22" s="209" t="s">
        <v>465</v>
      </c>
      <c r="B22" s="846">
        <f>B16/(B20+B21)</f>
        <v>50000</v>
      </c>
      <c r="C22" s="846"/>
      <c r="D22" s="846"/>
      <c r="E22" s="846"/>
    </row>
    <row r="23" spans="1:9" ht="30" customHeight="1" x14ac:dyDescent="0.25">
      <c r="A23" s="209" t="s">
        <v>466</v>
      </c>
      <c r="B23" s="847">
        <f>(B16-B17)/(B20+B21)</f>
        <v>50000</v>
      </c>
      <c r="C23" s="847"/>
      <c r="D23" s="847"/>
      <c r="E23" s="847"/>
    </row>
    <row r="24" spans="1:9" ht="30" customHeight="1" x14ac:dyDescent="0.25">
      <c r="A24" s="211" t="s">
        <v>476</v>
      </c>
      <c r="B24" s="901">
        <f>B18/1000*L10</f>
        <v>0</v>
      </c>
      <c r="C24" s="901"/>
      <c r="D24" s="901"/>
      <c r="E24" s="901"/>
    </row>
    <row r="25" spans="1:9" ht="30" customHeight="1" x14ac:dyDescent="0.25">
      <c r="A25" s="212" t="s">
        <v>463</v>
      </c>
      <c r="B25" s="881">
        <f>B24/'Objectifs CO2'!C14</f>
        <v>0</v>
      </c>
      <c r="C25" s="881"/>
      <c r="D25" s="881"/>
      <c r="E25" s="881"/>
    </row>
    <row r="26" spans="1:9" ht="30" customHeight="1" x14ac:dyDescent="0.25">
      <c r="A26" s="213" t="s">
        <v>464</v>
      </c>
      <c r="B26" s="881">
        <f>B24/'Objectifs CO2'!C8</f>
        <v>0</v>
      </c>
      <c r="C26" s="881"/>
      <c r="D26" s="881"/>
      <c r="E26" s="881"/>
    </row>
    <row r="27" spans="1:9" ht="30" customHeight="1" x14ac:dyDescent="0.25">
      <c r="A27" s="213" t="s">
        <v>24</v>
      </c>
      <c r="B27" s="853" t="s">
        <v>10</v>
      </c>
      <c r="C27" s="853"/>
      <c r="D27" s="853"/>
      <c r="E27" s="853"/>
    </row>
    <row r="28" spans="1:9" ht="30" customHeight="1" x14ac:dyDescent="0.25">
      <c r="A28" s="213" t="s">
        <v>418</v>
      </c>
      <c r="B28" s="853"/>
      <c r="C28" s="853"/>
      <c r="D28" s="853"/>
      <c r="E28" s="853"/>
    </row>
    <row r="30" spans="1:9" x14ac:dyDescent="0.25">
      <c r="B30" s="867" t="s">
        <v>530</v>
      </c>
      <c r="C30" s="867"/>
      <c r="D30" s="867"/>
      <c r="E30" s="143" t="s">
        <v>538</v>
      </c>
    </row>
    <row r="31" spans="1:9" x14ac:dyDescent="0.25">
      <c r="B31" s="864" t="s">
        <v>521</v>
      </c>
      <c r="C31" s="864"/>
      <c r="D31" s="864"/>
      <c r="E31" s="114"/>
      <c r="G31" s="866" t="s">
        <v>538</v>
      </c>
      <c r="H31" s="866"/>
      <c r="I31" s="866"/>
    </row>
    <row r="32" spans="1:9" x14ac:dyDescent="0.25">
      <c r="B32" s="864" t="s">
        <v>522</v>
      </c>
      <c r="C32" s="864"/>
      <c r="D32" s="864"/>
      <c r="E32" s="114"/>
      <c r="G32" s="252">
        <v>3</v>
      </c>
      <c r="H32" s="866" t="s">
        <v>535</v>
      </c>
      <c r="I32" s="866"/>
    </row>
    <row r="33" spans="2:9" x14ac:dyDescent="0.25">
      <c r="B33" s="864" t="s">
        <v>524</v>
      </c>
      <c r="C33" s="864"/>
      <c r="D33" s="864"/>
      <c r="E33" s="114"/>
      <c r="G33" s="252">
        <v>2</v>
      </c>
      <c r="H33" s="866" t="s">
        <v>536</v>
      </c>
      <c r="I33" s="866"/>
    </row>
    <row r="34" spans="2:9" x14ac:dyDescent="0.25">
      <c r="B34" s="864" t="s">
        <v>523</v>
      </c>
      <c r="C34" s="864"/>
      <c r="D34" s="864"/>
      <c r="E34" s="114"/>
      <c r="G34" s="252">
        <v>1</v>
      </c>
      <c r="H34" s="866" t="s">
        <v>537</v>
      </c>
      <c r="I34" s="866"/>
    </row>
    <row r="35" spans="2:9" x14ac:dyDescent="0.25">
      <c r="B35" s="864" t="s">
        <v>525</v>
      </c>
      <c r="C35" s="864"/>
      <c r="D35" s="864"/>
      <c r="E35" s="114"/>
    </row>
    <row r="36" spans="2:9" x14ac:dyDescent="0.25">
      <c r="B36" s="864" t="s">
        <v>526</v>
      </c>
      <c r="C36" s="864"/>
      <c r="D36" s="864"/>
      <c r="E36" s="114"/>
    </row>
    <row r="37" spans="2:9" x14ac:dyDescent="0.25">
      <c r="B37" s="864" t="s">
        <v>527</v>
      </c>
      <c r="C37" s="864"/>
      <c r="D37" s="864"/>
      <c r="E37" s="114"/>
    </row>
    <row r="38" spans="2:9" x14ac:dyDescent="0.25">
      <c r="B38" s="864" t="s">
        <v>528</v>
      </c>
      <c r="C38" s="864"/>
      <c r="D38" s="864"/>
      <c r="E38" s="114"/>
    </row>
    <row r="39" spans="2:9" x14ac:dyDescent="0.25">
      <c r="B39" s="864" t="s">
        <v>529</v>
      </c>
      <c r="C39" s="864"/>
      <c r="D39" s="864"/>
      <c r="E39" s="114"/>
      <c r="G39" s="863" t="s">
        <v>541</v>
      </c>
      <c r="H39" s="863"/>
      <c r="I39" s="863"/>
    </row>
    <row r="40" spans="2:9" x14ac:dyDescent="0.25">
      <c r="B40" s="865" t="s">
        <v>395</v>
      </c>
      <c r="C40" s="865"/>
      <c r="D40" s="865"/>
      <c r="E40" s="258">
        <f>SUM(E31:E39)</f>
        <v>0</v>
      </c>
      <c r="G40" s="254" t="s">
        <v>542</v>
      </c>
      <c r="H40" s="257" t="s">
        <v>543</v>
      </c>
      <c r="I40" s="254" t="s">
        <v>544</v>
      </c>
    </row>
    <row r="41" spans="2:9" x14ac:dyDescent="0.25">
      <c r="E41" s="202" t="s">
        <v>576</v>
      </c>
      <c r="G41" s="254" t="s">
        <v>545</v>
      </c>
      <c r="H41" s="254" t="s">
        <v>547</v>
      </c>
      <c r="I41" s="254" t="s">
        <v>546</v>
      </c>
    </row>
    <row r="43" spans="2:9" x14ac:dyDescent="0.25">
      <c r="B43" s="860" t="s">
        <v>520</v>
      </c>
      <c r="C43" s="861"/>
      <c r="D43" s="862"/>
      <c r="E43" s="251">
        <v>1</v>
      </c>
      <c r="G43" s="254">
        <v>1</v>
      </c>
      <c r="H43" s="254" t="s">
        <v>539</v>
      </c>
    </row>
    <row r="44" spans="2:9" x14ac:dyDescent="0.25">
      <c r="G44" s="254">
        <v>0</v>
      </c>
      <c r="H44" s="254" t="s">
        <v>540</v>
      </c>
    </row>
  </sheetData>
  <mergeCells count="45">
    <mergeCell ref="B40:D40"/>
    <mergeCell ref="B43:D43"/>
    <mergeCell ref="B35:D35"/>
    <mergeCell ref="B36:D36"/>
    <mergeCell ref="B37:D37"/>
    <mergeCell ref="B38:D38"/>
    <mergeCell ref="B39:D39"/>
    <mergeCell ref="G39:I39"/>
    <mergeCell ref="B32:D32"/>
    <mergeCell ref="H32:I32"/>
    <mergeCell ref="B33:D33"/>
    <mergeCell ref="H33:I33"/>
    <mergeCell ref="B34:D34"/>
    <mergeCell ref="H34:I34"/>
    <mergeCell ref="G31:I31"/>
    <mergeCell ref="B20:E20"/>
    <mergeCell ref="B21:E21"/>
    <mergeCell ref="B22:E22"/>
    <mergeCell ref="B23:E23"/>
    <mergeCell ref="B24:E24"/>
    <mergeCell ref="B25:E25"/>
    <mergeCell ref="B26:E26"/>
    <mergeCell ref="B27:E27"/>
    <mergeCell ref="B28:E28"/>
    <mergeCell ref="B30:D30"/>
    <mergeCell ref="B31:D31"/>
    <mergeCell ref="B19:E19"/>
    <mergeCell ref="B8:E8"/>
    <mergeCell ref="B9:E9"/>
    <mergeCell ref="B10:E10"/>
    <mergeCell ref="B11:E11"/>
    <mergeCell ref="B12:E12"/>
    <mergeCell ref="B13:E13"/>
    <mergeCell ref="B14:E14"/>
    <mergeCell ref="B15:E15"/>
    <mergeCell ref="B16:E16"/>
    <mergeCell ref="B17:E17"/>
    <mergeCell ref="B18:E18"/>
    <mergeCell ref="B7:E7"/>
    <mergeCell ref="A2:E2"/>
    <mergeCell ref="G4:I4"/>
    <mergeCell ref="C5:D5"/>
    <mergeCell ref="G5:I5"/>
    <mergeCell ref="G6:I6"/>
    <mergeCell ref="C4:D4"/>
  </mergeCells>
  <conditionalFormatting sqref="E5">
    <cfRule type="containsText" dxfId="77" priority="1" operator="containsText" text="Terminé">
      <formula>NOT(ISERROR(SEARCH("Terminé",E5)))</formula>
    </cfRule>
    <cfRule type="containsText" dxfId="76" priority="2" operator="containsText" text="En cours">
      <formula>NOT(ISERROR(SEARCH("En cours",E5)))</formula>
    </cfRule>
    <cfRule type="containsText" dxfId="75"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pageSetup paperSize="9" scale="9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8"/>
  <sheetViews>
    <sheetView topLeftCell="B52" zoomScale="145" zoomScaleNormal="145" workbookViewId="0">
      <selection activeCell="D73" sqref="D73"/>
    </sheetView>
  </sheetViews>
  <sheetFormatPr baseColWidth="10" defaultColWidth="7.85546875" defaultRowHeight="15" x14ac:dyDescent="0.25"/>
  <cols>
    <col min="1" max="1" width="7.85546875" style="702"/>
    <col min="2" max="2" width="16.42578125" style="702" bestFit="1" customWidth="1"/>
    <col min="3" max="3" width="14.5703125" style="702" bestFit="1" customWidth="1"/>
    <col min="4" max="4" width="13" style="702" bestFit="1" customWidth="1"/>
    <col min="5" max="5" width="20.140625" style="702" bestFit="1" customWidth="1"/>
    <col min="6" max="6" width="16.7109375" style="702" bestFit="1" customWidth="1"/>
    <col min="7" max="7" width="7.7109375" style="702" bestFit="1" customWidth="1"/>
    <col min="8" max="9" width="7.85546875" style="702"/>
    <col min="10" max="42" width="7.85546875" style="680"/>
    <col min="43" max="16384" width="7.85546875" style="39"/>
  </cols>
  <sheetData>
    <row r="1" spans="1:42" s="681" customFormat="1" ht="18.75" x14ac:dyDescent="0.3">
      <c r="A1" s="678" t="s">
        <v>52</v>
      </c>
      <c r="B1" s="679"/>
      <c r="C1" s="679"/>
      <c r="D1" s="837" t="s">
        <v>935</v>
      </c>
      <c r="E1" s="837"/>
      <c r="F1" s="837"/>
      <c r="G1" s="679"/>
      <c r="H1" s="679"/>
      <c r="I1" s="679"/>
      <c r="J1" s="680"/>
      <c r="K1" s="680"/>
      <c r="L1" s="680"/>
      <c r="M1" s="680"/>
      <c r="N1" s="680"/>
      <c r="O1" s="680"/>
      <c r="P1" s="680"/>
      <c r="Q1" s="680"/>
      <c r="R1" s="680"/>
      <c r="S1" s="680"/>
      <c r="T1" s="680"/>
      <c r="U1" s="680"/>
      <c r="V1" s="680"/>
      <c r="W1" s="680"/>
      <c r="X1" s="680"/>
      <c r="Y1" s="680"/>
      <c r="Z1" s="680"/>
      <c r="AA1" s="680"/>
      <c r="AB1" s="680"/>
      <c r="AC1" s="680"/>
      <c r="AD1" s="680"/>
      <c r="AE1" s="680"/>
      <c r="AF1" s="680"/>
      <c r="AG1" s="680"/>
      <c r="AH1" s="680"/>
      <c r="AI1" s="680"/>
      <c r="AJ1" s="680"/>
      <c r="AK1" s="680"/>
      <c r="AL1" s="680"/>
      <c r="AM1" s="680"/>
      <c r="AN1" s="680"/>
      <c r="AO1" s="680"/>
      <c r="AP1" s="680"/>
    </row>
    <row r="2" spans="1:42" s="681" customFormat="1" x14ac:dyDescent="0.25">
      <c r="A2" s="679"/>
      <c r="B2" s="679"/>
      <c r="C2" s="679"/>
      <c r="D2" s="679"/>
      <c r="E2" s="679"/>
      <c r="F2" s="679"/>
      <c r="G2" s="679"/>
      <c r="H2" s="679"/>
      <c r="I2" s="679"/>
      <c r="J2" s="680"/>
      <c r="K2" s="680"/>
      <c r="L2" s="680"/>
      <c r="M2" s="680"/>
      <c r="N2" s="680"/>
      <c r="O2" s="680"/>
      <c r="P2" s="680"/>
      <c r="Q2" s="680"/>
      <c r="R2" s="680"/>
      <c r="S2" s="680"/>
      <c r="T2" s="680"/>
      <c r="U2" s="680"/>
      <c r="V2" s="680"/>
      <c r="W2" s="680"/>
      <c r="X2" s="680"/>
      <c r="Y2" s="680"/>
      <c r="Z2" s="680"/>
      <c r="AA2" s="680"/>
      <c r="AB2" s="680"/>
      <c r="AC2" s="680"/>
      <c r="AD2" s="680"/>
      <c r="AE2" s="680"/>
      <c r="AF2" s="680"/>
      <c r="AG2" s="680"/>
      <c r="AH2" s="680"/>
      <c r="AI2" s="680"/>
      <c r="AJ2" s="680"/>
      <c r="AK2" s="680"/>
      <c r="AL2" s="680"/>
      <c r="AM2" s="680"/>
      <c r="AN2" s="680"/>
      <c r="AO2" s="680"/>
      <c r="AP2" s="680"/>
    </row>
    <row r="3" spans="1:42" s="681" customFormat="1" x14ac:dyDescent="0.25">
      <c r="A3" s="679"/>
      <c r="B3" s="682" t="s">
        <v>16</v>
      </c>
      <c r="C3" s="682" t="s">
        <v>49</v>
      </c>
      <c r="D3" s="682" t="s">
        <v>7</v>
      </c>
      <c r="E3" s="682" t="s">
        <v>50</v>
      </c>
      <c r="F3" s="682" t="s">
        <v>51</v>
      </c>
      <c r="G3" s="679"/>
      <c r="H3" s="683" t="s">
        <v>13</v>
      </c>
      <c r="I3" s="679"/>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80"/>
    </row>
    <row r="4" spans="1:42" s="681" customFormat="1" x14ac:dyDescent="0.25">
      <c r="A4" s="679"/>
      <c r="B4" s="684" t="s">
        <v>86</v>
      </c>
      <c r="C4" s="685">
        <f>'Synthèse CO2'!BJ91</f>
        <v>2878737</v>
      </c>
      <c r="D4" s="685">
        <f>'Synthèse CO2'!BQ91</f>
        <v>997467</v>
      </c>
      <c r="E4" s="685">
        <f t="shared" ref="E4:E9" si="0">C4-D4</f>
        <v>1881270</v>
      </c>
      <c r="F4" s="686">
        <f t="shared" ref="F4:F9" si="1">E4/5</f>
        <v>376254</v>
      </c>
      <c r="G4" s="679"/>
      <c r="H4" s="687">
        <f t="shared" ref="H4:H10" si="2">C4/C$10</f>
        <v>0.1336592027102643</v>
      </c>
      <c r="I4" s="679"/>
      <c r="J4" s="680"/>
      <c r="K4" s="680"/>
      <c r="L4" s="680"/>
      <c r="M4" s="680"/>
      <c r="N4" s="680"/>
      <c r="O4" s="680"/>
      <c r="P4" s="680"/>
      <c r="Q4" s="680"/>
      <c r="R4" s="680"/>
      <c r="S4" s="680"/>
      <c r="T4" s="680"/>
      <c r="U4" s="680"/>
      <c r="V4" s="680"/>
      <c r="W4" s="680"/>
      <c r="X4" s="680"/>
      <c r="Y4" s="680"/>
      <c r="Z4" s="680"/>
      <c r="AA4" s="680"/>
      <c r="AB4" s="680"/>
      <c r="AC4" s="680"/>
      <c r="AD4" s="680"/>
      <c r="AE4" s="680"/>
      <c r="AF4" s="680"/>
      <c r="AG4" s="680"/>
      <c r="AH4" s="680"/>
      <c r="AI4" s="680"/>
      <c r="AJ4" s="680"/>
      <c r="AK4" s="680"/>
      <c r="AL4" s="680"/>
      <c r="AM4" s="680"/>
      <c r="AN4" s="680"/>
      <c r="AO4" s="680"/>
      <c r="AP4" s="680"/>
    </row>
    <row r="5" spans="1:42" s="681" customFormat="1" x14ac:dyDescent="0.25">
      <c r="A5" s="679"/>
      <c r="B5" s="684" t="s">
        <v>38</v>
      </c>
      <c r="C5" s="685">
        <f>'Synthèse CO2'!BF91</f>
        <v>0</v>
      </c>
      <c r="D5" s="685">
        <f>'Synthèse CO2'!BM91</f>
        <v>0</v>
      </c>
      <c r="E5" s="685">
        <f t="shared" si="0"/>
        <v>0</v>
      </c>
      <c r="F5" s="686">
        <f t="shared" si="1"/>
        <v>0</v>
      </c>
      <c r="G5" s="679"/>
      <c r="H5" s="687">
        <f t="shared" si="2"/>
        <v>0</v>
      </c>
      <c r="I5" s="679"/>
      <c r="J5" s="680"/>
      <c r="K5" s="680"/>
      <c r="L5" s="680"/>
      <c r="M5" s="680"/>
      <c r="N5" s="680"/>
      <c r="O5" s="680"/>
      <c r="P5" s="680"/>
      <c r="Q5" s="680"/>
      <c r="R5" s="680"/>
      <c r="S5" s="680"/>
      <c r="T5" s="680"/>
      <c r="U5" s="680"/>
      <c r="V5" s="680"/>
      <c r="W5" s="680"/>
      <c r="X5" s="680"/>
      <c r="Y5" s="680"/>
      <c r="Z5" s="680"/>
      <c r="AA5" s="680"/>
      <c r="AB5" s="680"/>
      <c r="AC5" s="680"/>
      <c r="AD5" s="680"/>
      <c r="AE5" s="680"/>
      <c r="AF5" s="680"/>
      <c r="AG5" s="680"/>
      <c r="AH5" s="680"/>
      <c r="AI5" s="680"/>
      <c r="AJ5" s="680"/>
      <c r="AK5" s="680"/>
      <c r="AL5" s="680"/>
      <c r="AM5" s="680"/>
      <c r="AN5" s="680"/>
      <c r="AO5" s="680"/>
      <c r="AP5" s="680"/>
    </row>
    <row r="6" spans="1:42" s="681" customFormat="1" x14ac:dyDescent="0.25">
      <c r="A6" s="679"/>
      <c r="B6" s="684" t="s">
        <v>36</v>
      </c>
      <c r="C6" s="685">
        <f>'Synthèse CO2'!BH91</f>
        <v>17183136.880772762</v>
      </c>
      <c r="D6" s="685">
        <f>'Synthèse CO2'!BO91</f>
        <v>1552042.891206352</v>
      </c>
      <c r="E6" s="685">
        <f t="shared" si="0"/>
        <v>15631093.98956641</v>
      </c>
      <c r="F6" s="686">
        <f t="shared" si="1"/>
        <v>3126218.7979132822</v>
      </c>
      <c r="G6" s="679"/>
      <c r="H6" s="687">
        <f t="shared" si="2"/>
        <v>0.79780972542661077</v>
      </c>
      <c r="I6" s="679"/>
      <c r="J6" s="680"/>
      <c r="K6" s="680"/>
      <c r="L6" s="680"/>
      <c r="M6" s="680"/>
      <c r="N6" s="680"/>
      <c r="O6" s="680"/>
      <c r="P6" s="680"/>
      <c r="Q6" s="680"/>
      <c r="R6" s="680"/>
      <c r="S6" s="680"/>
      <c r="T6" s="680"/>
      <c r="U6" s="680"/>
      <c r="V6" s="680"/>
      <c r="W6" s="680"/>
      <c r="X6" s="680"/>
      <c r="Y6" s="680"/>
      <c r="Z6" s="680"/>
      <c r="AA6" s="680"/>
      <c r="AB6" s="680"/>
      <c r="AC6" s="680"/>
      <c r="AD6" s="680"/>
      <c r="AE6" s="680"/>
      <c r="AF6" s="680"/>
      <c r="AG6" s="680"/>
      <c r="AH6" s="680"/>
      <c r="AI6" s="680"/>
      <c r="AJ6" s="680"/>
      <c r="AK6" s="680"/>
      <c r="AL6" s="680"/>
      <c r="AM6" s="680"/>
      <c r="AN6" s="680"/>
      <c r="AO6" s="680"/>
      <c r="AP6" s="680"/>
    </row>
    <row r="7" spans="1:42" s="681" customFormat="1" x14ac:dyDescent="0.25">
      <c r="A7" s="679"/>
      <c r="B7" s="688" t="s">
        <v>518</v>
      </c>
      <c r="C7" s="685">
        <f>'Synthèse CO2'!BI91</f>
        <v>456814.5820238844</v>
      </c>
      <c r="D7" s="685">
        <f>'Synthèse CO2'!BP91</f>
        <v>137044.37460716531</v>
      </c>
      <c r="E7" s="685">
        <f t="shared" si="0"/>
        <v>319770.20741671906</v>
      </c>
      <c r="F7" s="686">
        <f t="shared" si="1"/>
        <v>63954.041483343812</v>
      </c>
      <c r="G7" s="679"/>
      <c r="H7" s="687">
        <f t="shared" si="2"/>
        <v>2.1209812782388607E-2</v>
      </c>
      <c r="I7" s="679"/>
      <c r="J7" s="680"/>
      <c r="K7" s="680"/>
      <c r="L7" s="680"/>
      <c r="M7" s="680"/>
      <c r="N7" s="680"/>
      <c r="O7" s="680"/>
      <c r="P7" s="680"/>
      <c r="Q7" s="680"/>
      <c r="R7" s="680"/>
      <c r="S7" s="680"/>
      <c r="T7" s="680"/>
      <c r="U7" s="680"/>
      <c r="V7" s="680"/>
      <c r="W7" s="680"/>
      <c r="X7" s="680"/>
      <c r="Y7" s="680"/>
      <c r="Z7" s="680"/>
      <c r="AA7" s="680"/>
      <c r="AB7" s="680"/>
      <c r="AC7" s="680"/>
      <c r="AD7" s="680"/>
      <c r="AE7" s="680"/>
      <c r="AF7" s="680"/>
      <c r="AG7" s="680"/>
      <c r="AH7" s="680"/>
      <c r="AI7" s="680"/>
      <c r="AJ7" s="680"/>
      <c r="AK7" s="680"/>
      <c r="AL7" s="680"/>
      <c r="AM7" s="680"/>
      <c r="AN7" s="680"/>
      <c r="AO7" s="680"/>
      <c r="AP7" s="680"/>
    </row>
    <row r="8" spans="1:42" s="681" customFormat="1" x14ac:dyDescent="0.25">
      <c r="A8" s="679"/>
      <c r="B8" s="689" t="s">
        <v>61</v>
      </c>
      <c r="C8" s="685">
        <f>'Synthèse CO2'!BG91</f>
        <v>195000</v>
      </c>
      <c r="D8" s="685">
        <f>'Synthèse CO2'!BN91</f>
        <v>39000</v>
      </c>
      <c r="E8" s="685">
        <f t="shared" si="0"/>
        <v>156000</v>
      </c>
      <c r="F8" s="686">
        <f t="shared" si="1"/>
        <v>31200</v>
      </c>
      <c r="G8" s="679"/>
      <c r="H8" s="687">
        <f t="shared" si="2"/>
        <v>9.0538123241204523E-3</v>
      </c>
      <c r="I8" s="679"/>
      <c r="J8" s="680"/>
      <c r="K8" s="680"/>
      <c r="L8" s="680"/>
      <c r="M8" s="680"/>
      <c r="N8" s="680"/>
      <c r="O8" s="680"/>
      <c r="P8" s="680"/>
      <c r="Q8" s="680"/>
      <c r="R8" s="680"/>
      <c r="S8" s="680"/>
      <c r="T8" s="680"/>
      <c r="U8" s="680"/>
      <c r="V8" s="680"/>
      <c r="W8" s="680"/>
      <c r="X8" s="680"/>
      <c r="Y8" s="680"/>
      <c r="Z8" s="680"/>
      <c r="AA8" s="680"/>
      <c r="AB8" s="680"/>
      <c r="AC8" s="680"/>
      <c r="AD8" s="680"/>
      <c r="AE8" s="680"/>
      <c r="AF8" s="680"/>
      <c r="AG8" s="680"/>
      <c r="AH8" s="680"/>
      <c r="AI8" s="680"/>
      <c r="AJ8" s="680"/>
      <c r="AK8" s="680"/>
      <c r="AL8" s="680"/>
      <c r="AM8" s="680"/>
      <c r="AN8" s="680"/>
      <c r="AO8" s="680"/>
      <c r="AP8" s="680"/>
    </row>
    <row r="9" spans="1:42" s="681" customFormat="1" x14ac:dyDescent="0.25">
      <c r="A9" s="679"/>
      <c r="B9" s="689" t="s">
        <v>41</v>
      </c>
      <c r="C9" s="690">
        <f>'Synthèse CO2'!BK91</f>
        <v>824200</v>
      </c>
      <c r="D9" s="685">
        <f>'Synthèse CO2'!BR91</f>
        <v>140000</v>
      </c>
      <c r="E9" s="685">
        <f t="shared" si="0"/>
        <v>684200</v>
      </c>
      <c r="F9" s="686">
        <f t="shared" si="1"/>
        <v>136840</v>
      </c>
      <c r="G9" s="679"/>
      <c r="H9" s="687">
        <f t="shared" si="2"/>
        <v>3.8267446756615781E-2</v>
      </c>
      <c r="I9" s="679"/>
      <c r="J9" s="680"/>
      <c r="K9" s="680"/>
      <c r="L9" s="680"/>
      <c r="M9" s="680"/>
      <c r="N9" s="680"/>
      <c r="O9" s="680"/>
      <c r="P9" s="680"/>
      <c r="Q9" s="680"/>
      <c r="R9" s="680"/>
      <c r="S9" s="680"/>
      <c r="T9" s="680"/>
      <c r="U9" s="680"/>
      <c r="V9" s="680"/>
      <c r="W9" s="680"/>
      <c r="X9" s="680"/>
      <c r="Y9" s="680"/>
      <c r="Z9" s="680"/>
      <c r="AA9" s="680"/>
      <c r="AB9" s="680"/>
      <c r="AC9" s="680"/>
      <c r="AD9" s="680"/>
      <c r="AE9" s="680"/>
      <c r="AF9" s="680"/>
      <c r="AG9" s="680"/>
      <c r="AH9" s="680"/>
      <c r="AI9" s="680"/>
      <c r="AJ9" s="680"/>
      <c r="AK9" s="680"/>
      <c r="AL9" s="680"/>
      <c r="AM9" s="680"/>
      <c r="AN9" s="680"/>
      <c r="AO9" s="680"/>
      <c r="AP9" s="680"/>
    </row>
    <row r="10" spans="1:42" s="681" customFormat="1" x14ac:dyDescent="0.25">
      <c r="A10" s="679"/>
      <c r="B10" s="691" t="s">
        <v>395</v>
      </c>
      <c r="C10" s="692">
        <f>SUM(C4:C9)</f>
        <v>21537888.462796647</v>
      </c>
      <c r="D10" s="693">
        <f>SUM(D4:D9)</f>
        <v>2865554.2658135174</v>
      </c>
      <c r="E10" s="693">
        <f>SUM(E4:E9)</f>
        <v>18672334.196983129</v>
      </c>
      <c r="F10" s="693">
        <f>SUM(F4:F9)</f>
        <v>3734466.8393966258</v>
      </c>
      <c r="G10" s="679"/>
      <c r="H10" s="687">
        <f t="shared" si="2"/>
        <v>1</v>
      </c>
      <c r="I10" s="679"/>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row>
    <row r="11" spans="1:42" s="681" customFormat="1" x14ac:dyDescent="0.25">
      <c r="A11" s="679"/>
      <c r="B11" s="679"/>
      <c r="C11" s="679"/>
      <c r="D11" s="679"/>
      <c r="E11" s="679"/>
      <c r="F11" s="679"/>
      <c r="G11" s="679"/>
      <c r="H11" s="679"/>
      <c r="I11" s="679"/>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row>
    <row r="12" spans="1:42" s="681" customFormat="1" ht="18.75" x14ac:dyDescent="0.3">
      <c r="A12" s="678" t="s">
        <v>53</v>
      </c>
      <c r="B12" s="694"/>
      <c r="C12" s="679"/>
      <c r="D12" s="679"/>
      <c r="E12" s="679"/>
      <c r="F12" s="679"/>
      <c r="G12" s="679"/>
      <c r="H12" s="679"/>
      <c r="I12" s="679"/>
      <c r="J12" s="680"/>
      <c r="K12" s="680"/>
      <c r="L12" s="680"/>
      <c r="M12" s="680"/>
      <c r="N12" s="680"/>
      <c r="O12" s="680"/>
      <c r="P12" s="680"/>
      <c r="Q12" s="680"/>
      <c r="R12" s="680"/>
      <c r="S12" s="680"/>
      <c r="T12" s="680"/>
      <c r="U12" s="680"/>
      <c r="V12" s="680"/>
      <c r="W12" s="680"/>
      <c r="X12" s="680"/>
      <c r="Y12" s="680"/>
      <c r="Z12" s="680"/>
      <c r="AA12" s="680"/>
      <c r="AB12" s="680"/>
      <c r="AC12" s="680"/>
      <c r="AD12" s="680"/>
      <c r="AE12" s="680"/>
      <c r="AF12" s="680"/>
      <c r="AG12" s="680"/>
      <c r="AH12" s="680"/>
      <c r="AI12" s="680"/>
      <c r="AJ12" s="680"/>
      <c r="AK12" s="680"/>
      <c r="AL12" s="680"/>
      <c r="AM12" s="680"/>
      <c r="AN12" s="680"/>
      <c r="AO12" s="680"/>
      <c r="AP12" s="680"/>
    </row>
    <row r="13" spans="1:42" s="681" customFormat="1" x14ac:dyDescent="0.25">
      <c r="A13" s="679"/>
      <c r="B13" s="679"/>
      <c r="C13" s="679"/>
      <c r="D13" s="679"/>
      <c r="E13" s="679"/>
      <c r="F13" s="679"/>
      <c r="G13" s="679"/>
      <c r="H13" s="679"/>
      <c r="I13" s="679"/>
      <c r="J13" s="680"/>
      <c r="K13" s="680"/>
      <c r="L13" s="680"/>
      <c r="M13" s="680"/>
      <c r="N13" s="680"/>
      <c r="O13" s="680"/>
      <c r="P13" s="680"/>
      <c r="Q13" s="680"/>
      <c r="R13" s="680"/>
      <c r="S13" s="680"/>
      <c r="T13" s="680"/>
      <c r="U13" s="680"/>
      <c r="V13" s="680"/>
      <c r="W13" s="680"/>
      <c r="X13" s="680"/>
      <c r="Y13" s="680"/>
      <c r="Z13" s="680"/>
      <c r="AA13" s="680"/>
      <c r="AB13" s="680"/>
      <c r="AC13" s="680"/>
      <c r="AD13" s="680"/>
      <c r="AE13" s="680"/>
      <c r="AF13" s="680"/>
      <c r="AG13" s="680"/>
      <c r="AH13" s="680"/>
      <c r="AI13" s="680"/>
      <c r="AJ13" s="680"/>
      <c r="AK13" s="680"/>
      <c r="AL13" s="680"/>
      <c r="AM13" s="680"/>
      <c r="AN13" s="680"/>
      <c r="AO13" s="680"/>
      <c r="AP13" s="680"/>
    </row>
    <row r="14" spans="1:42" s="681" customFormat="1" x14ac:dyDescent="0.25">
      <c r="A14" s="679"/>
      <c r="B14" s="684" t="s">
        <v>47</v>
      </c>
      <c r="C14" s="682" t="s">
        <v>48</v>
      </c>
      <c r="D14" s="682" t="s">
        <v>7</v>
      </c>
      <c r="E14" s="682" t="s">
        <v>8</v>
      </c>
      <c r="F14" s="682" t="s">
        <v>28</v>
      </c>
      <c r="G14" s="695" t="s">
        <v>29</v>
      </c>
      <c r="H14" s="683" t="s">
        <v>13</v>
      </c>
      <c r="I14" s="679"/>
      <c r="J14" s="680"/>
      <c r="K14" s="680"/>
      <c r="L14" s="680"/>
      <c r="M14" s="680"/>
      <c r="N14" s="680"/>
      <c r="O14" s="680"/>
      <c r="P14" s="680"/>
      <c r="Q14" s="680"/>
      <c r="R14" s="680"/>
      <c r="S14" s="680"/>
      <c r="T14" s="680"/>
      <c r="U14" s="680"/>
      <c r="V14" s="680"/>
      <c r="W14" s="680"/>
      <c r="X14" s="680"/>
      <c r="Y14" s="680"/>
      <c r="Z14" s="680"/>
      <c r="AA14" s="680"/>
      <c r="AB14" s="680"/>
      <c r="AC14" s="680"/>
      <c r="AD14" s="680"/>
      <c r="AE14" s="680"/>
      <c r="AF14" s="680"/>
      <c r="AG14" s="680"/>
      <c r="AH14" s="680"/>
      <c r="AI14" s="680"/>
      <c r="AJ14" s="680"/>
      <c r="AK14" s="680"/>
      <c r="AL14" s="680"/>
      <c r="AM14" s="680"/>
      <c r="AN14" s="680"/>
      <c r="AO14" s="680"/>
      <c r="AP14" s="680"/>
    </row>
    <row r="15" spans="1:42" s="681" customFormat="1" x14ac:dyDescent="0.25">
      <c r="A15" s="679"/>
      <c r="B15" s="684" t="s">
        <v>42</v>
      </c>
      <c r="C15" s="696">
        <f>'Synthèse CO2'!Z91</f>
        <v>611814.5820238844</v>
      </c>
      <c r="D15" s="696">
        <f>'Synthèse CO2'!AH91</f>
        <v>191644.37460716531</v>
      </c>
      <c r="E15" s="696">
        <f>'Synthèse CO2'!AP91</f>
        <v>81461.250601777865</v>
      </c>
      <c r="F15" s="696">
        <f>'Synthèse CO2'!AX91</f>
        <v>39626.682227889018</v>
      </c>
      <c r="G15" s="697">
        <f t="shared" ref="G15:G22" si="3">(C15-D15)/(E15+F15)</f>
        <v>3.4699593724815507</v>
      </c>
      <c r="H15" s="687">
        <f>C15/C$22</f>
        <v>2.8406432834894607E-2</v>
      </c>
      <c r="I15" s="679"/>
      <c r="J15" s="680"/>
      <c r="K15" s="680"/>
      <c r="L15" s="680"/>
      <c r="M15" s="680"/>
      <c r="N15" s="680"/>
      <c r="O15" s="680"/>
      <c r="P15" s="680"/>
      <c r="Q15" s="680"/>
      <c r="R15" s="680"/>
      <c r="S15" s="680"/>
      <c r="T15" s="680"/>
      <c r="U15" s="680"/>
      <c r="V15" s="680"/>
      <c r="W15" s="680"/>
      <c r="X15" s="680"/>
      <c r="Y15" s="680"/>
      <c r="Z15" s="680"/>
      <c r="AA15" s="680"/>
      <c r="AB15" s="680"/>
      <c r="AC15" s="680"/>
      <c r="AD15" s="680"/>
      <c r="AE15" s="680"/>
      <c r="AF15" s="680"/>
      <c r="AG15" s="680"/>
      <c r="AH15" s="680"/>
      <c r="AI15" s="680"/>
      <c r="AJ15" s="680"/>
      <c r="AK15" s="680"/>
      <c r="AL15" s="680"/>
      <c r="AM15" s="680"/>
      <c r="AN15" s="680"/>
      <c r="AO15" s="680"/>
      <c r="AP15" s="680"/>
    </row>
    <row r="16" spans="1:42" s="681" customFormat="1" x14ac:dyDescent="0.25">
      <c r="A16" s="679"/>
      <c r="B16" s="684" t="s">
        <v>39</v>
      </c>
      <c r="C16" s="696">
        <f>'Synthèse CO2'!AA91</f>
        <v>0</v>
      </c>
      <c r="D16" s="696">
        <f>'Synthèse CO2'!AI91</f>
        <v>0</v>
      </c>
      <c r="E16" s="696">
        <f>'Synthèse CO2'!AQ91</f>
        <v>0</v>
      </c>
      <c r="F16" s="696">
        <f>'Synthèse CO2'!AY91</f>
        <v>0</v>
      </c>
      <c r="G16" s="697" t="e">
        <f t="shared" si="3"/>
        <v>#DIV/0!</v>
      </c>
      <c r="H16" s="687">
        <f t="shared" ref="H16:H22" si="4">C16/C$22</f>
        <v>0</v>
      </c>
      <c r="I16" s="679"/>
      <c r="J16" s="680"/>
      <c r="K16" s="680"/>
      <c r="L16" s="680"/>
      <c r="M16" s="680"/>
      <c r="N16" s="680"/>
      <c r="O16" s="680"/>
      <c r="P16" s="680"/>
      <c r="Q16" s="680"/>
      <c r="R16" s="680"/>
      <c r="S16" s="680"/>
      <c r="T16" s="680"/>
      <c r="U16" s="680"/>
      <c r="V16" s="680"/>
      <c r="W16" s="680"/>
      <c r="X16" s="680"/>
      <c r="Y16" s="680"/>
      <c r="Z16" s="680"/>
      <c r="AA16" s="680"/>
      <c r="AB16" s="680"/>
      <c r="AC16" s="680"/>
      <c r="AD16" s="680"/>
      <c r="AE16" s="680"/>
      <c r="AF16" s="680"/>
      <c r="AG16" s="680"/>
      <c r="AH16" s="680"/>
      <c r="AI16" s="680"/>
      <c r="AJ16" s="680"/>
      <c r="AK16" s="680"/>
      <c r="AL16" s="680"/>
      <c r="AM16" s="680"/>
      <c r="AN16" s="680"/>
      <c r="AO16" s="680"/>
      <c r="AP16" s="680"/>
    </row>
    <row r="17" spans="1:42" s="681" customFormat="1" x14ac:dyDescent="0.25">
      <c r="A17" s="679"/>
      <c r="B17" s="684" t="s">
        <v>61</v>
      </c>
      <c r="C17" s="696">
        <f>'Synthèse CO2'!AB91</f>
        <v>195000</v>
      </c>
      <c r="D17" s="696">
        <f>'Synthèse CO2'!AJ91</f>
        <v>39000</v>
      </c>
      <c r="E17" s="696">
        <f>'Synthèse CO2'!AR91</f>
        <v>3559.1880000000001</v>
      </c>
      <c r="F17" s="696">
        <f>'Synthèse CO2'!AZ91</f>
        <v>1360.866</v>
      </c>
      <c r="G17" s="697">
        <f t="shared" si="3"/>
        <v>31.70696906985167</v>
      </c>
      <c r="H17" s="687">
        <f t="shared" si="4"/>
        <v>9.0538123241204523E-3</v>
      </c>
      <c r="I17" s="679"/>
      <c r="J17" s="680"/>
      <c r="K17" s="680"/>
      <c r="L17" s="680"/>
      <c r="M17" s="680"/>
      <c r="N17" s="680"/>
      <c r="O17" s="680"/>
      <c r="P17" s="680"/>
      <c r="Q17" s="680"/>
      <c r="R17" s="680"/>
      <c r="S17" s="680"/>
      <c r="T17" s="680"/>
      <c r="U17" s="680"/>
      <c r="V17" s="680"/>
      <c r="W17" s="680"/>
      <c r="X17" s="680"/>
      <c r="Y17" s="680"/>
      <c r="Z17" s="680"/>
      <c r="AA17" s="680"/>
      <c r="AB17" s="680"/>
      <c r="AC17" s="680"/>
      <c r="AD17" s="680"/>
      <c r="AE17" s="680"/>
      <c r="AF17" s="680"/>
      <c r="AG17" s="680"/>
      <c r="AH17" s="680"/>
      <c r="AI17" s="680"/>
      <c r="AJ17" s="680"/>
      <c r="AK17" s="680"/>
      <c r="AL17" s="680"/>
      <c r="AM17" s="680"/>
      <c r="AN17" s="680"/>
      <c r="AO17" s="680"/>
      <c r="AP17" s="680"/>
    </row>
    <row r="18" spans="1:42" s="681" customFormat="1" x14ac:dyDescent="0.25">
      <c r="A18" s="679"/>
      <c r="B18" s="684" t="s">
        <v>35</v>
      </c>
      <c r="C18" s="696">
        <f>'Synthèse CO2'!AC91</f>
        <v>16614506.712063517</v>
      </c>
      <c r="D18" s="696">
        <f>'Synthèse CO2'!AK91</f>
        <v>1552042.891206352</v>
      </c>
      <c r="E18" s="696">
        <f>'Synthèse CO2'!AS91</f>
        <v>15804136.946166838</v>
      </c>
      <c r="F18" s="696">
        <f>'Synthèse CO2'!BA91</f>
        <v>646684.35</v>
      </c>
      <c r="G18" s="697">
        <f t="shared" si="3"/>
        <v>0.91560558282684834</v>
      </c>
      <c r="H18" s="687">
        <f t="shared" si="4"/>
        <v>0.77140833655827001</v>
      </c>
      <c r="I18" s="679"/>
      <c r="J18" s="680"/>
      <c r="K18" s="680"/>
      <c r="L18" s="680"/>
      <c r="M18" s="680"/>
      <c r="N18" s="680"/>
      <c r="O18" s="680"/>
      <c r="P18" s="680"/>
      <c r="Q18" s="680"/>
      <c r="R18" s="680"/>
      <c r="S18" s="680"/>
      <c r="T18" s="680"/>
      <c r="U18" s="680"/>
      <c r="V18" s="680"/>
      <c r="W18" s="680"/>
      <c r="X18" s="680"/>
      <c r="Y18" s="680"/>
      <c r="Z18" s="680"/>
      <c r="AA18" s="680"/>
      <c r="AB18" s="680"/>
      <c r="AC18" s="680"/>
      <c r="AD18" s="680"/>
      <c r="AE18" s="680"/>
      <c r="AF18" s="680"/>
      <c r="AG18" s="680"/>
      <c r="AH18" s="680"/>
      <c r="AI18" s="680"/>
      <c r="AJ18" s="680"/>
      <c r="AK18" s="680"/>
      <c r="AL18" s="680"/>
      <c r="AM18" s="680"/>
      <c r="AN18" s="680"/>
      <c r="AO18" s="680"/>
      <c r="AP18" s="680"/>
    </row>
    <row r="19" spans="1:42" s="681" customFormat="1" x14ac:dyDescent="0.25">
      <c r="A19" s="679"/>
      <c r="B19" s="698" t="s">
        <v>41</v>
      </c>
      <c r="C19" s="696">
        <f>'Synthèse CO2'!AD91</f>
        <v>824200</v>
      </c>
      <c r="D19" s="696">
        <f>'Synthèse CO2'!AL91</f>
        <v>140000</v>
      </c>
      <c r="E19" s="696">
        <f>'Synthèse CO2'!AT91</f>
        <v>63532</v>
      </c>
      <c r="F19" s="696">
        <f>'Synthèse CO2'!BB91</f>
        <v>14420.25</v>
      </c>
      <c r="G19" s="697">
        <f t="shared" si="3"/>
        <v>8.7771680740453295</v>
      </c>
      <c r="H19" s="687">
        <f t="shared" si="4"/>
        <v>3.8267446756615781E-2</v>
      </c>
      <c r="I19" s="679"/>
      <c r="J19" s="680"/>
      <c r="K19" s="680"/>
      <c r="L19" s="680"/>
      <c r="M19" s="680"/>
      <c r="N19" s="680"/>
      <c r="O19" s="680"/>
      <c r="P19" s="680"/>
      <c r="Q19" s="680"/>
      <c r="R19" s="680"/>
      <c r="S19" s="680"/>
      <c r="T19" s="680"/>
      <c r="U19" s="680"/>
      <c r="V19" s="680"/>
      <c r="W19" s="680"/>
      <c r="X19" s="680"/>
      <c r="Y19" s="680"/>
      <c r="Z19" s="680"/>
      <c r="AA19" s="680"/>
      <c r="AB19" s="680"/>
      <c r="AC19" s="680"/>
      <c r="AD19" s="680"/>
      <c r="AE19" s="680"/>
      <c r="AF19" s="680"/>
      <c r="AG19" s="680"/>
      <c r="AH19" s="680"/>
      <c r="AI19" s="680"/>
      <c r="AJ19" s="680"/>
      <c r="AK19" s="680"/>
      <c r="AL19" s="680"/>
      <c r="AM19" s="680"/>
      <c r="AN19" s="680"/>
      <c r="AO19" s="680"/>
      <c r="AP19" s="680"/>
    </row>
    <row r="20" spans="1:42" s="681" customFormat="1" x14ac:dyDescent="0.25">
      <c r="A20" s="679"/>
      <c r="B20" s="682" t="s">
        <v>37</v>
      </c>
      <c r="C20" s="699">
        <f>'Synthèse CO2'!AE91</f>
        <v>588630.16870924423</v>
      </c>
      <c r="D20" s="699">
        <f>'Synthèse CO2'!AM91</f>
        <v>0</v>
      </c>
      <c r="E20" s="699">
        <f>'Synthèse CO2'!AU91</f>
        <v>27508.098294685278</v>
      </c>
      <c r="F20" s="699">
        <f>'Synthèse CO2'!BC91</f>
        <v>0</v>
      </c>
      <c r="G20" s="697">
        <f t="shared" si="3"/>
        <v>21.398431923699029</v>
      </c>
      <c r="H20" s="687">
        <f t="shared" si="4"/>
        <v>2.7329985004147985E-2</v>
      </c>
      <c r="I20" s="679"/>
      <c r="J20" s="680"/>
      <c r="K20" s="680"/>
      <c r="L20" s="680"/>
      <c r="M20" s="680"/>
      <c r="N20" s="680"/>
      <c r="O20" s="680"/>
      <c r="P20" s="680"/>
      <c r="Q20" s="680"/>
      <c r="R20" s="680"/>
      <c r="S20" s="680"/>
      <c r="T20" s="680"/>
      <c r="U20" s="680"/>
      <c r="V20" s="680"/>
      <c r="W20" s="680"/>
      <c r="X20" s="680"/>
      <c r="Y20" s="680"/>
      <c r="Z20" s="680"/>
      <c r="AA20" s="680"/>
      <c r="AB20" s="680"/>
      <c r="AC20" s="680"/>
      <c r="AD20" s="680"/>
      <c r="AE20" s="680"/>
      <c r="AF20" s="680"/>
      <c r="AG20" s="680"/>
      <c r="AH20" s="680"/>
      <c r="AI20" s="680"/>
      <c r="AJ20" s="680"/>
      <c r="AK20" s="680"/>
      <c r="AL20" s="680"/>
      <c r="AM20" s="680"/>
      <c r="AN20" s="680"/>
      <c r="AO20" s="680"/>
      <c r="AP20" s="680"/>
    </row>
    <row r="21" spans="1:42" s="681" customFormat="1" x14ac:dyDescent="0.25">
      <c r="A21" s="679"/>
      <c r="B21" s="688" t="s">
        <v>40</v>
      </c>
      <c r="C21" s="696">
        <f>'Synthèse CO2'!AF91</f>
        <v>2703737</v>
      </c>
      <c r="D21" s="696">
        <f>'Synthèse CO2'!AN91</f>
        <v>942867</v>
      </c>
      <c r="E21" s="696">
        <f>'Synthèse CO2'!AV91</f>
        <v>393506.14</v>
      </c>
      <c r="F21" s="696">
        <f>'Synthèse CO2'!BD91</f>
        <v>9070.5419999999976</v>
      </c>
      <c r="G21" s="697">
        <f t="shared" si="3"/>
        <v>4.3739989888435709</v>
      </c>
      <c r="H21" s="687">
        <f t="shared" si="4"/>
        <v>0.12553398652195108</v>
      </c>
      <c r="I21" s="679"/>
      <c r="J21" s="680"/>
      <c r="K21" s="680"/>
      <c r="L21" s="680"/>
      <c r="M21" s="680"/>
      <c r="N21" s="680"/>
      <c r="O21" s="680"/>
      <c r="P21" s="680"/>
      <c r="Q21" s="680"/>
      <c r="R21" s="680"/>
      <c r="S21" s="680"/>
      <c r="T21" s="680"/>
      <c r="U21" s="680"/>
      <c r="V21" s="680"/>
      <c r="W21" s="680"/>
      <c r="X21" s="680"/>
      <c r="Y21" s="680"/>
      <c r="Z21" s="680"/>
      <c r="AA21" s="680"/>
      <c r="AB21" s="680"/>
      <c r="AC21" s="680"/>
      <c r="AD21" s="680"/>
      <c r="AE21" s="680"/>
      <c r="AF21" s="680"/>
      <c r="AG21" s="680"/>
      <c r="AH21" s="680"/>
      <c r="AI21" s="680"/>
      <c r="AJ21" s="680"/>
      <c r="AK21" s="680"/>
      <c r="AL21" s="680"/>
      <c r="AM21" s="680"/>
      <c r="AN21" s="680"/>
      <c r="AO21" s="680"/>
      <c r="AP21" s="680"/>
    </row>
    <row r="22" spans="1:42" s="681" customFormat="1" x14ac:dyDescent="0.25">
      <c r="A22" s="679"/>
      <c r="B22" s="691" t="s">
        <v>395</v>
      </c>
      <c r="C22" s="700">
        <f>SUM(C15:C21)</f>
        <v>21537888.462796647</v>
      </c>
      <c r="D22" s="700">
        <f t="shared" ref="D22:F22" si="5">SUM(D15:D21)</f>
        <v>2865554.2658135174</v>
      </c>
      <c r="E22" s="700">
        <f t="shared" si="5"/>
        <v>16373703.6230633</v>
      </c>
      <c r="F22" s="700">
        <f t="shared" si="5"/>
        <v>711162.69022788899</v>
      </c>
      <c r="G22" s="701">
        <f t="shared" si="3"/>
        <v>1.0929166113788651</v>
      </c>
      <c r="H22" s="687">
        <f t="shared" si="4"/>
        <v>1</v>
      </c>
      <c r="I22" s="679"/>
      <c r="J22" s="680"/>
      <c r="K22" s="680"/>
      <c r="L22" s="680"/>
      <c r="M22" s="680"/>
      <c r="N22" s="680"/>
      <c r="O22" s="680"/>
      <c r="P22" s="680"/>
      <c r="Q22" s="680"/>
      <c r="R22" s="680"/>
      <c r="S22" s="680"/>
      <c r="T22" s="680"/>
      <c r="U22" s="680"/>
      <c r="V22" s="680"/>
      <c r="W22" s="680"/>
      <c r="X22" s="680"/>
      <c r="Y22" s="680"/>
      <c r="Z22" s="680"/>
      <c r="AA22" s="680"/>
      <c r="AB22" s="680"/>
      <c r="AC22" s="680"/>
      <c r="AD22" s="680"/>
      <c r="AE22" s="680"/>
      <c r="AF22" s="680"/>
      <c r="AG22" s="680"/>
      <c r="AH22" s="680"/>
      <c r="AI22" s="680"/>
      <c r="AJ22" s="680"/>
      <c r="AK22" s="680"/>
      <c r="AL22" s="680"/>
      <c r="AM22" s="680"/>
      <c r="AN22" s="680"/>
      <c r="AO22" s="680"/>
      <c r="AP22" s="680"/>
    </row>
    <row r="24" spans="1:42" s="705" customFormat="1" ht="18.75" x14ac:dyDescent="0.3">
      <c r="A24" s="703" t="s">
        <v>52</v>
      </c>
      <c r="B24" s="704"/>
      <c r="C24" s="704"/>
      <c r="D24" s="838" t="s">
        <v>936</v>
      </c>
      <c r="E24" s="838"/>
      <c r="F24" s="838"/>
      <c r="G24" s="704"/>
      <c r="H24" s="704"/>
      <c r="I24" s="704"/>
      <c r="J24" s="680"/>
      <c r="K24" s="680"/>
      <c r="L24" s="680"/>
      <c r="M24" s="680"/>
      <c r="N24" s="680"/>
      <c r="O24" s="680"/>
      <c r="P24" s="680"/>
      <c r="Q24" s="680"/>
      <c r="R24" s="680"/>
      <c r="S24" s="680"/>
      <c r="T24" s="680"/>
      <c r="U24" s="680"/>
      <c r="V24" s="680"/>
      <c r="W24" s="680"/>
      <c r="X24" s="680"/>
      <c r="Y24" s="680"/>
      <c r="Z24" s="680"/>
      <c r="AA24" s="680"/>
      <c r="AB24" s="680"/>
      <c r="AC24" s="680"/>
      <c r="AD24" s="680"/>
      <c r="AE24" s="680"/>
      <c r="AF24" s="680"/>
      <c r="AG24" s="680"/>
      <c r="AH24" s="680"/>
      <c r="AI24" s="680"/>
      <c r="AJ24" s="680"/>
      <c r="AK24" s="680"/>
      <c r="AL24" s="680"/>
      <c r="AM24" s="680"/>
      <c r="AN24" s="680"/>
      <c r="AO24" s="680"/>
      <c r="AP24" s="680"/>
    </row>
    <row r="25" spans="1:42" s="705" customFormat="1" x14ac:dyDescent="0.25">
      <c r="A25" s="704"/>
      <c r="B25" s="704"/>
      <c r="C25" s="704"/>
      <c r="D25" s="704"/>
      <c r="E25" s="704"/>
      <c r="F25" s="704"/>
      <c r="G25" s="704"/>
      <c r="H25" s="704"/>
      <c r="I25" s="704"/>
      <c r="J25" s="680"/>
      <c r="K25" s="680"/>
      <c r="L25" s="680"/>
      <c r="M25" s="680"/>
      <c r="N25" s="680"/>
      <c r="O25" s="680"/>
      <c r="P25" s="680"/>
      <c r="Q25" s="680"/>
      <c r="R25" s="680"/>
      <c r="S25" s="680"/>
      <c r="T25" s="680"/>
      <c r="U25" s="680"/>
      <c r="V25" s="680"/>
      <c r="W25" s="680"/>
      <c r="X25" s="680"/>
      <c r="Y25" s="680"/>
      <c r="Z25" s="680"/>
      <c r="AA25" s="680"/>
      <c r="AB25" s="680"/>
      <c r="AC25" s="680"/>
      <c r="AD25" s="680"/>
      <c r="AE25" s="680"/>
      <c r="AF25" s="680"/>
      <c r="AG25" s="680"/>
      <c r="AH25" s="680"/>
      <c r="AI25" s="680"/>
      <c r="AJ25" s="680"/>
      <c r="AK25" s="680"/>
      <c r="AL25" s="680"/>
      <c r="AM25" s="680"/>
      <c r="AN25" s="680"/>
      <c r="AO25" s="680"/>
      <c r="AP25" s="680"/>
    </row>
    <row r="26" spans="1:42" s="705" customFormat="1" x14ac:dyDescent="0.25">
      <c r="A26" s="704"/>
      <c r="B26" s="706" t="s">
        <v>16</v>
      </c>
      <c r="C26" s="706" t="s">
        <v>49</v>
      </c>
      <c r="D26" s="706" t="s">
        <v>7</v>
      </c>
      <c r="E26" s="706" t="s">
        <v>50</v>
      </c>
      <c r="F26" s="706" t="s">
        <v>51</v>
      </c>
      <c r="G26" s="704"/>
      <c r="H26" s="707" t="s">
        <v>13</v>
      </c>
      <c r="I26" s="704"/>
      <c r="J26" s="680"/>
      <c r="K26" s="680"/>
      <c r="L26" s="680"/>
      <c r="M26" s="680"/>
      <c r="N26" s="680"/>
      <c r="O26" s="680"/>
      <c r="P26" s="680"/>
      <c r="Q26" s="680"/>
      <c r="R26" s="680"/>
      <c r="S26" s="680"/>
      <c r="T26" s="680"/>
      <c r="U26" s="680"/>
      <c r="V26" s="680"/>
      <c r="W26" s="680"/>
      <c r="X26" s="680"/>
      <c r="Y26" s="680"/>
      <c r="Z26" s="680"/>
      <c r="AA26" s="680"/>
      <c r="AB26" s="680"/>
      <c r="AC26" s="680"/>
      <c r="AD26" s="680"/>
      <c r="AE26" s="680"/>
      <c r="AF26" s="680"/>
      <c r="AG26" s="680"/>
      <c r="AH26" s="680"/>
      <c r="AI26" s="680"/>
      <c r="AJ26" s="680"/>
      <c r="AK26" s="680"/>
      <c r="AL26" s="680"/>
      <c r="AM26" s="680"/>
      <c r="AN26" s="680"/>
      <c r="AO26" s="680"/>
      <c r="AP26" s="680"/>
    </row>
    <row r="27" spans="1:42" s="705" customFormat="1" x14ac:dyDescent="0.25">
      <c r="A27" s="704"/>
      <c r="B27" s="708" t="s">
        <v>86</v>
      </c>
      <c r="C27" s="709">
        <f>'Synthèse ECO'!AD92</f>
        <v>909810</v>
      </c>
      <c r="D27" s="709">
        <f>'Synthèse ECO'!AK92</f>
        <v>243643.33333333337</v>
      </c>
      <c r="E27" s="709">
        <f t="shared" ref="E27:E32" si="6">C27-D27</f>
        <v>666166.66666666663</v>
      </c>
      <c r="F27" s="710">
        <f>E27/14</f>
        <v>47583.333333333328</v>
      </c>
      <c r="G27" s="704"/>
      <c r="H27" s="711">
        <f>C27/C$33</f>
        <v>7.5782135003664958E-2</v>
      </c>
      <c r="I27" s="704"/>
      <c r="J27" s="680"/>
      <c r="K27" s="680"/>
      <c r="L27" s="680"/>
      <c r="M27" s="680"/>
      <c r="N27" s="680"/>
      <c r="O27" s="680"/>
      <c r="P27" s="680"/>
      <c r="Q27" s="680"/>
      <c r="R27" s="680"/>
      <c r="S27" s="680"/>
      <c r="T27" s="680"/>
      <c r="U27" s="680"/>
      <c r="V27" s="680"/>
      <c r="W27" s="680"/>
      <c r="X27" s="680"/>
      <c r="Y27" s="680"/>
      <c r="Z27" s="680"/>
      <c r="AA27" s="680"/>
      <c r="AB27" s="680"/>
      <c r="AC27" s="680"/>
      <c r="AD27" s="680"/>
      <c r="AE27" s="680"/>
      <c r="AF27" s="680"/>
      <c r="AG27" s="680"/>
      <c r="AH27" s="680"/>
      <c r="AI27" s="680"/>
      <c r="AJ27" s="680"/>
      <c r="AK27" s="680"/>
      <c r="AL27" s="680"/>
      <c r="AM27" s="680"/>
      <c r="AN27" s="680"/>
      <c r="AO27" s="680"/>
      <c r="AP27" s="680"/>
    </row>
    <row r="28" spans="1:42" s="705" customFormat="1" x14ac:dyDescent="0.25">
      <c r="A28" s="704"/>
      <c r="B28" s="708" t="s">
        <v>38</v>
      </c>
      <c r="C28" s="709">
        <f>'Synthèse ECO'!Z92</f>
        <v>711485</v>
      </c>
      <c r="D28" s="709">
        <f>'Synthèse ECO'!AG92</f>
        <v>135500</v>
      </c>
      <c r="E28" s="709">
        <f t="shared" si="6"/>
        <v>575985</v>
      </c>
      <c r="F28" s="710">
        <f t="shared" ref="F28:F33" si="7">E28/14</f>
        <v>41141.785714285717</v>
      </c>
      <c r="G28" s="704"/>
      <c r="H28" s="711">
        <f t="shared" ref="H28:H32" si="8">C28/C$33</f>
        <v>5.9262760711667889E-2</v>
      </c>
      <c r="I28" s="704"/>
      <c r="J28" s="680"/>
      <c r="K28" s="680"/>
      <c r="L28" s="680"/>
      <c r="M28" s="680"/>
      <c r="N28" s="680"/>
      <c r="O28" s="680"/>
      <c r="P28" s="680"/>
      <c r="Q28" s="680"/>
      <c r="R28" s="680"/>
      <c r="S28" s="680"/>
      <c r="T28" s="680"/>
      <c r="U28" s="680"/>
      <c r="V28" s="680"/>
      <c r="W28" s="680"/>
      <c r="X28" s="680"/>
      <c r="Y28" s="680"/>
      <c r="Z28" s="680"/>
      <c r="AA28" s="680"/>
      <c r="AB28" s="680"/>
      <c r="AC28" s="680"/>
      <c r="AD28" s="680"/>
      <c r="AE28" s="680"/>
      <c r="AF28" s="680"/>
      <c r="AG28" s="680"/>
      <c r="AH28" s="680"/>
      <c r="AI28" s="680"/>
      <c r="AJ28" s="680"/>
      <c r="AK28" s="680"/>
      <c r="AL28" s="680"/>
      <c r="AM28" s="680"/>
      <c r="AN28" s="680"/>
      <c r="AO28" s="680"/>
      <c r="AP28" s="680"/>
    </row>
    <row r="29" spans="1:42" s="705" customFormat="1" x14ac:dyDescent="0.25">
      <c r="A29" s="704"/>
      <c r="B29" s="708" t="s">
        <v>36</v>
      </c>
      <c r="C29" s="709">
        <f>'Synthèse ECO'!AB92</f>
        <v>3490000</v>
      </c>
      <c r="D29" s="709">
        <f>'Synthèse ECO'!AI92</f>
        <v>350000</v>
      </c>
      <c r="E29" s="709">
        <f t="shared" si="6"/>
        <v>3140000</v>
      </c>
      <c r="F29" s="710">
        <f t="shared" si="7"/>
        <v>224285.71428571429</v>
      </c>
      <c r="G29" s="704"/>
      <c r="H29" s="711">
        <f t="shared" si="8"/>
        <v>0.29069767441860467</v>
      </c>
      <c r="I29" s="704"/>
      <c r="J29" s="680"/>
      <c r="K29" s="680"/>
      <c r="L29" s="680"/>
      <c r="M29" s="680"/>
      <c r="N29" s="680"/>
      <c r="O29" s="680"/>
      <c r="P29" s="680"/>
      <c r="Q29" s="680"/>
      <c r="R29" s="680"/>
      <c r="S29" s="680"/>
      <c r="T29" s="680"/>
      <c r="U29" s="680"/>
      <c r="V29" s="680"/>
      <c r="W29" s="680"/>
      <c r="X29" s="680"/>
      <c r="Y29" s="680"/>
      <c r="Z29" s="680"/>
      <c r="AA29" s="680"/>
      <c r="AB29" s="680"/>
      <c r="AC29" s="680"/>
      <c r="AD29" s="680"/>
      <c r="AE29" s="680"/>
      <c r="AF29" s="680"/>
      <c r="AG29" s="680"/>
      <c r="AH29" s="680"/>
      <c r="AI29" s="680"/>
      <c r="AJ29" s="680"/>
      <c r="AK29" s="680"/>
      <c r="AL29" s="680"/>
      <c r="AM29" s="680"/>
      <c r="AN29" s="680"/>
      <c r="AO29" s="680"/>
      <c r="AP29" s="680"/>
    </row>
    <row r="30" spans="1:42" s="705" customFormat="1" x14ac:dyDescent="0.25">
      <c r="A30" s="704"/>
      <c r="B30" s="712" t="s">
        <v>518</v>
      </c>
      <c r="C30" s="709">
        <f>'Synthèse ECO'!AC92</f>
        <v>0</v>
      </c>
      <c r="D30" s="709">
        <f>'Synthèse ECO'!AJ92</f>
        <v>0</v>
      </c>
      <c r="E30" s="709">
        <f t="shared" si="6"/>
        <v>0</v>
      </c>
      <c r="F30" s="710">
        <f t="shared" si="7"/>
        <v>0</v>
      </c>
      <c r="G30" s="704"/>
      <c r="H30" s="711">
        <f t="shared" si="8"/>
        <v>0</v>
      </c>
      <c r="I30" s="704"/>
      <c r="J30" s="680"/>
      <c r="K30" s="680"/>
      <c r="L30" s="680"/>
      <c r="M30" s="680"/>
      <c r="N30" s="680"/>
      <c r="O30" s="680"/>
      <c r="P30" s="680"/>
      <c r="Q30" s="680"/>
      <c r="R30" s="680"/>
      <c r="S30" s="680"/>
      <c r="T30" s="680"/>
      <c r="U30" s="680"/>
      <c r="V30" s="680"/>
      <c r="W30" s="680"/>
      <c r="X30" s="680"/>
      <c r="Y30" s="680"/>
      <c r="Z30" s="680"/>
      <c r="AA30" s="680"/>
      <c r="AB30" s="680"/>
      <c r="AC30" s="680"/>
      <c r="AD30" s="680"/>
      <c r="AE30" s="680"/>
      <c r="AF30" s="680"/>
      <c r="AG30" s="680"/>
      <c r="AH30" s="680"/>
      <c r="AI30" s="680"/>
      <c r="AJ30" s="680"/>
      <c r="AK30" s="680"/>
      <c r="AL30" s="680"/>
      <c r="AM30" s="680"/>
      <c r="AN30" s="680"/>
      <c r="AO30" s="680"/>
      <c r="AP30" s="680"/>
    </row>
    <row r="31" spans="1:42" s="705" customFormat="1" x14ac:dyDescent="0.25">
      <c r="A31" s="704"/>
      <c r="B31" s="713" t="s">
        <v>61</v>
      </c>
      <c r="C31" s="709">
        <f>'Synthèse ECO'!AA92</f>
        <v>6064850</v>
      </c>
      <c r="D31" s="709">
        <f>'Synthèse ECO'!AH92</f>
        <v>690000</v>
      </c>
      <c r="E31" s="709">
        <f t="shared" si="6"/>
        <v>5374850</v>
      </c>
      <c r="F31" s="710">
        <f t="shared" si="7"/>
        <v>383917.85714285716</v>
      </c>
      <c r="G31" s="704"/>
      <c r="H31" s="711">
        <f t="shared" si="8"/>
        <v>0.50516842140334506</v>
      </c>
      <c r="I31" s="704"/>
      <c r="J31" s="680"/>
      <c r="K31" s="680"/>
      <c r="L31" s="680"/>
      <c r="M31" s="680"/>
      <c r="N31" s="680"/>
      <c r="O31" s="680"/>
      <c r="P31" s="680"/>
      <c r="Q31" s="680"/>
      <c r="R31" s="680"/>
      <c r="S31" s="680"/>
      <c r="T31" s="680"/>
      <c r="U31" s="680"/>
      <c r="V31" s="680"/>
      <c r="W31" s="680"/>
      <c r="X31" s="680"/>
      <c r="Y31" s="680"/>
      <c r="Z31" s="680"/>
      <c r="AA31" s="680"/>
      <c r="AB31" s="680"/>
      <c r="AC31" s="680"/>
      <c r="AD31" s="680"/>
      <c r="AE31" s="680"/>
      <c r="AF31" s="680"/>
      <c r="AG31" s="680"/>
      <c r="AH31" s="680"/>
      <c r="AI31" s="680"/>
      <c r="AJ31" s="680"/>
      <c r="AK31" s="680"/>
      <c r="AL31" s="680"/>
      <c r="AM31" s="680"/>
      <c r="AN31" s="680"/>
      <c r="AO31" s="680"/>
      <c r="AP31" s="680"/>
    </row>
    <row r="32" spans="1:42" s="705" customFormat="1" x14ac:dyDescent="0.25">
      <c r="A32" s="704"/>
      <c r="B32" s="713" t="s">
        <v>41</v>
      </c>
      <c r="C32" s="714">
        <f>'Synthèse ECO'!AE92</f>
        <v>829455</v>
      </c>
      <c r="D32" s="709">
        <f>'Synthèse ECO'!AL92</f>
        <v>0</v>
      </c>
      <c r="E32" s="709">
        <f t="shared" si="6"/>
        <v>829455</v>
      </c>
      <c r="F32" s="710">
        <f t="shared" si="7"/>
        <v>59246.785714285717</v>
      </c>
      <c r="G32" s="704"/>
      <c r="H32" s="711">
        <f t="shared" si="8"/>
        <v>6.9089008462717399E-2</v>
      </c>
      <c r="I32" s="704"/>
      <c r="J32" s="680"/>
      <c r="K32" s="680"/>
      <c r="L32" s="680"/>
      <c r="M32" s="680"/>
      <c r="N32" s="680"/>
      <c r="O32" s="680"/>
      <c r="P32" s="680"/>
      <c r="Q32" s="680"/>
      <c r="R32" s="680"/>
      <c r="S32" s="680"/>
      <c r="T32" s="680"/>
      <c r="U32" s="680"/>
      <c r="V32" s="680"/>
      <c r="W32" s="680"/>
      <c r="X32" s="680"/>
      <c r="Y32" s="680"/>
      <c r="Z32" s="680"/>
      <c r="AA32" s="680"/>
      <c r="AB32" s="680"/>
      <c r="AC32" s="680"/>
      <c r="AD32" s="680"/>
      <c r="AE32" s="680"/>
      <c r="AF32" s="680"/>
      <c r="AG32" s="680"/>
      <c r="AH32" s="680"/>
      <c r="AI32" s="680"/>
      <c r="AJ32" s="680"/>
      <c r="AK32" s="680"/>
      <c r="AL32" s="680"/>
      <c r="AM32" s="680"/>
      <c r="AN32" s="680"/>
      <c r="AO32" s="680"/>
      <c r="AP32" s="680"/>
    </row>
    <row r="33" spans="1:42" s="705" customFormat="1" x14ac:dyDescent="0.25">
      <c r="A33" s="704"/>
      <c r="B33" s="715" t="s">
        <v>395</v>
      </c>
      <c r="C33" s="716">
        <f>SUM(C27:C32)</f>
        <v>12005600</v>
      </c>
      <c r="D33" s="717">
        <f>SUM(D27:D32)</f>
        <v>1419143.3333333335</v>
      </c>
      <c r="E33" s="717">
        <f>SUM(E27:E32)</f>
        <v>10586456.666666666</v>
      </c>
      <c r="F33" s="710">
        <f t="shared" si="7"/>
        <v>756175.4761904761</v>
      </c>
      <c r="G33" s="704"/>
      <c r="H33" s="711">
        <f>C33/C$33</f>
        <v>1</v>
      </c>
      <c r="I33" s="704"/>
      <c r="J33" s="680"/>
      <c r="K33" s="680"/>
      <c r="L33" s="680"/>
      <c r="M33" s="680"/>
      <c r="N33" s="680"/>
      <c r="O33" s="680"/>
      <c r="P33" s="680"/>
      <c r="Q33" s="680"/>
      <c r="R33" s="680"/>
      <c r="S33" s="680"/>
      <c r="T33" s="680"/>
      <c r="U33" s="680"/>
      <c r="V33" s="680"/>
      <c r="W33" s="680"/>
      <c r="X33" s="680"/>
      <c r="Y33" s="680"/>
      <c r="Z33" s="680"/>
      <c r="AA33" s="680"/>
      <c r="AB33" s="680"/>
      <c r="AC33" s="680"/>
      <c r="AD33" s="680"/>
      <c r="AE33" s="680"/>
      <c r="AF33" s="680"/>
      <c r="AG33" s="680"/>
      <c r="AH33" s="680"/>
      <c r="AI33" s="680"/>
      <c r="AJ33" s="680"/>
      <c r="AK33" s="680"/>
      <c r="AL33" s="680"/>
      <c r="AM33" s="680"/>
      <c r="AN33" s="680"/>
      <c r="AO33" s="680"/>
      <c r="AP33" s="680"/>
    </row>
    <row r="34" spans="1:42" s="705" customFormat="1" x14ac:dyDescent="0.25">
      <c r="A34" s="704"/>
      <c r="B34" s="704"/>
      <c r="C34" s="704"/>
      <c r="D34" s="704"/>
      <c r="E34" s="704"/>
      <c r="F34" s="704"/>
      <c r="G34" s="704"/>
      <c r="H34" s="704"/>
      <c r="I34" s="704"/>
      <c r="J34" s="680"/>
      <c r="K34" s="680"/>
      <c r="L34" s="680"/>
      <c r="M34" s="680"/>
      <c r="N34" s="680"/>
      <c r="O34" s="680"/>
      <c r="P34" s="680"/>
      <c r="Q34" s="680"/>
      <c r="R34" s="680"/>
      <c r="S34" s="680"/>
      <c r="T34" s="680"/>
      <c r="U34" s="680"/>
      <c r="V34" s="680"/>
      <c r="W34" s="680"/>
      <c r="X34" s="680"/>
      <c r="Y34" s="680"/>
      <c r="Z34" s="680"/>
      <c r="AA34" s="680"/>
      <c r="AB34" s="680"/>
      <c r="AC34" s="680"/>
      <c r="AD34" s="680"/>
      <c r="AE34" s="680"/>
      <c r="AF34" s="680"/>
      <c r="AG34" s="680"/>
      <c r="AH34" s="680"/>
      <c r="AI34" s="680"/>
      <c r="AJ34" s="680"/>
      <c r="AK34" s="680"/>
      <c r="AL34" s="680"/>
      <c r="AM34" s="680"/>
      <c r="AN34" s="680"/>
      <c r="AO34" s="680"/>
      <c r="AP34" s="680"/>
    </row>
    <row r="35" spans="1:42" s="705" customFormat="1" ht="18.75" x14ac:dyDescent="0.3">
      <c r="A35" s="703" t="s">
        <v>53</v>
      </c>
      <c r="B35" s="718"/>
      <c r="C35" s="704"/>
      <c r="D35" s="704"/>
      <c r="E35" s="704"/>
      <c r="F35" s="704"/>
      <c r="G35" s="704"/>
      <c r="H35" s="704"/>
      <c r="I35" s="704"/>
      <c r="J35" s="680"/>
      <c r="K35" s="680"/>
      <c r="L35" s="680"/>
      <c r="M35" s="680"/>
      <c r="N35" s="680"/>
      <c r="O35" s="680"/>
      <c r="P35" s="680"/>
      <c r="Q35" s="680"/>
      <c r="R35" s="680"/>
      <c r="S35" s="680"/>
      <c r="T35" s="680"/>
      <c r="U35" s="680"/>
      <c r="V35" s="680"/>
      <c r="W35" s="680"/>
      <c r="X35" s="680"/>
      <c r="Y35" s="680"/>
      <c r="Z35" s="680"/>
      <c r="AA35" s="680"/>
      <c r="AB35" s="680"/>
      <c r="AC35" s="680"/>
      <c r="AD35" s="680"/>
      <c r="AE35" s="680"/>
      <c r="AF35" s="680"/>
      <c r="AG35" s="680"/>
      <c r="AH35" s="680"/>
      <c r="AI35" s="680"/>
      <c r="AJ35" s="680"/>
      <c r="AK35" s="680"/>
      <c r="AL35" s="680"/>
      <c r="AM35" s="680"/>
      <c r="AN35" s="680"/>
      <c r="AO35" s="680"/>
      <c r="AP35" s="680"/>
    </row>
    <row r="36" spans="1:42" s="705" customFormat="1" x14ac:dyDescent="0.25">
      <c r="A36" s="704"/>
      <c r="B36" s="704"/>
      <c r="C36" s="704"/>
      <c r="D36" s="704"/>
      <c r="E36" s="704"/>
      <c r="F36" s="704"/>
      <c r="G36" s="704"/>
      <c r="H36" s="704"/>
      <c r="I36" s="704"/>
      <c r="J36" s="680"/>
      <c r="K36" s="680"/>
      <c r="L36" s="680"/>
      <c r="M36" s="680"/>
      <c r="N36" s="680"/>
      <c r="O36" s="680"/>
      <c r="P36" s="680"/>
      <c r="Q36" s="680"/>
      <c r="R36" s="680"/>
      <c r="S36" s="680"/>
      <c r="T36" s="680"/>
      <c r="U36" s="680"/>
      <c r="V36" s="680"/>
      <c r="W36" s="680"/>
      <c r="X36" s="680"/>
      <c r="Y36" s="680"/>
      <c r="Z36" s="680"/>
      <c r="AA36" s="680"/>
      <c r="AB36" s="680"/>
      <c r="AC36" s="680"/>
      <c r="AD36" s="680"/>
      <c r="AE36" s="680"/>
      <c r="AF36" s="680"/>
      <c r="AG36" s="680"/>
      <c r="AH36" s="680"/>
      <c r="AI36" s="680"/>
      <c r="AJ36" s="680"/>
      <c r="AK36" s="680"/>
      <c r="AL36" s="680"/>
      <c r="AM36" s="680"/>
      <c r="AN36" s="680"/>
      <c r="AO36" s="680"/>
      <c r="AP36" s="680"/>
    </row>
    <row r="37" spans="1:42" s="705" customFormat="1" x14ac:dyDescent="0.25">
      <c r="A37" s="704"/>
      <c r="B37" s="708" t="s">
        <v>47</v>
      </c>
      <c r="C37" s="706" t="s">
        <v>48</v>
      </c>
      <c r="D37" s="706" t="s">
        <v>7</v>
      </c>
      <c r="E37" s="706" t="s">
        <v>8</v>
      </c>
      <c r="F37" s="706" t="s">
        <v>28</v>
      </c>
      <c r="G37" s="719" t="s">
        <v>29</v>
      </c>
      <c r="H37" s="707" t="s">
        <v>13</v>
      </c>
      <c r="I37" s="704"/>
      <c r="J37" s="680"/>
      <c r="K37" s="680"/>
      <c r="L37" s="680"/>
      <c r="M37" s="680"/>
      <c r="N37" s="680"/>
      <c r="O37" s="680"/>
      <c r="P37" s="680"/>
      <c r="Q37" s="680"/>
      <c r="R37" s="680"/>
      <c r="S37" s="680"/>
      <c r="T37" s="680"/>
      <c r="U37" s="680"/>
      <c r="V37" s="680"/>
      <c r="W37" s="680"/>
      <c r="X37" s="680"/>
      <c r="Y37" s="680"/>
      <c r="Z37" s="680"/>
      <c r="AA37" s="680"/>
      <c r="AB37" s="680"/>
      <c r="AC37" s="680"/>
      <c r="AD37" s="680"/>
      <c r="AE37" s="680"/>
      <c r="AF37" s="680"/>
      <c r="AG37" s="680"/>
      <c r="AH37" s="680"/>
      <c r="AI37" s="680"/>
      <c r="AJ37" s="680"/>
      <c r="AK37" s="680"/>
      <c r="AL37" s="680"/>
      <c r="AM37" s="680"/>
      <c r="AN37" s="680"/>
      <c r="AO37" s="680"/>
      <c r="AP37" s="680"/>
    </row>
    <row r="38" spans="1:42" s="705" customFormat="1" x14ac:dyDescent="0.25">
      <c r="A38" s="704"/>
      <c r="B38" s="708" t="s">
        <v>42</v>
      </c>
      <c r="C38" s="709">
        <f>'Synthèse ECO'!AN92</f>
        <v>4000</v>
      </c>
      <c r="D38" s="709">
        <f>'Synthèse ECO'!AV92</f>
        <v>0</v>
      </c>
      <c r="E38" s="709">
        <f>'Synthèse ECO'!BD92</f>
        <v>3</v>
      </c>
      <c r="F38" s="709">
        <f>'Synthèse ECO'!BL92</f>
        <v>0</v>
      </c>
      <c r="G38" s="720">
        <f t="shared" ref="G38:G45" si="9">(C38-D38)/(E38+F38)</f>
        <v>1333.3333333333333</v>
      </c>
      <c r="H38" s="721">
        <f>C38/C$45</f>
        <v>3.3317785033650963E-4</v>
      </c>
      <c r="I38" s="704"/>
      <c r="J38" s="680"/>
      <c r="K38" s="680"/>
      <c r="L38" s="680"/>
      <c r="M38" s="680"/>
      <c r="N38" s="680"/>
      <c r="O38" s="680"/>
      <c r="P38" s="680"/>
      <c r="Q38" s="680"/>
      <c r="R38" s="680"/>
      <c r="S38" s="680"/>
      <c r="T38" s="680"/>
      <c r="U38" s="680"/>
      <c r="V38" s="680"/>
      <c r="W38" s="680"/>
      <c r="X38" s="680"/>
      <c r="Y38" s="680"/>
      <c r="Z38" s="680"/>
      <c r="AA38" s="680"/>
      <c r="AB38" s="680"/>
      <c r="AC38" s="680"/>
      <c r="AD38" s="680"/>
      <c r="AE38" s="680"/>
      <c r="AF38" s="680"/>
      <c r="AG38" s="680"/>
      <c r="AH38" s="680"/>
      <c r="AI38" s="680"/>
      <c r="AJ38" s="680"/>
      <c r="AK38" s="680"/>
      <c r="AL38" s="680"/>
      <c r="AM38" s="680"/>
      <c r="AN38" s="680"/>
      <c r="AO38" s="680"/>
      <c r="AP38" s="680"/>
    </row>
    <row r="39" spans="1:42" s="705" customFormat="1" x14ac:dyDescent="0.25">
      <c r="A39" s="704"/>
      <c r="B39" s="708" t="s">
        <v>39</v>
      </c>
      <c r="C39" s="709">
        <f>'Synthèse ECO'!AO92</f>
        <v>711485</v>
      </c>
      <c r="D39" s="709">
        <f>'Synthèse ECO'!AW92</f>
        <v>135500</v>
      </c>
      <c r="E39" s="709">
        <f>'Synthèse ECO'!BE92</f>
        <v>87715.883700000006</v>
      </c>
      <c r="F39" s="709">
        <f>'Synthèse ECO'!BM92</f>
        <v>31055.699999999997</v>
      </c>
      <c r="G39" s="720">
        <f t="shared" si="9"/>
        <v>4.8495185637572664</v>
      </c>
      <c r="H39" s="721">
        <f t="shared" ref="H39:H45" si="10">C39/C$45</f>
        <v>5.9262760711667889E-2</v>
      </c>
      <c r="I39" s="704"/>
      <c r="J39" s="680"/>
      <c r="K39" s="680"/>
      <c r="L39" s="680"/>
      <c r="M39" s="680"/>
      <c r="N39" s="680"/>
      <c r="O39" s="680"/>
      <c r="P39" s="680"/>
      <c r="Q39" s="680"/>
      <c r="R39" s="680"/>
      <c r="S39" s="680"/>
      <c r="T39" s="680"/>
      <c r="U39" s="680"/>
      <c r="V39" s="680"/>
      <c r="W39" s="680"/>
      <c r="X39" s="680"/>
      <c r="Y39" s="680"/>
      <c r="Z39" s="680"/>
      <c r="AA39" s="680"/>
      <c r="AB39" s="680"/>
      <c r="AC39" s="680"/>
      <c r="AD39" s="680"/>
      <c r="AE39" s="680"/>
      <c r="AF39" s="680"/>
      <c r="AG39" s="680"/>
      <c r="AH39" s="680"/>
      <c r="AI39" s="680"/>
      <c r="AJ39" s="680"/>
      <c r="AK39" s="680"/>
      <c r="AL39" s="680"/>
      <c r="AM39" s="680"/>
      <c r="AN39" s="680"/>
      <c r="AO39" s="680"/>
      <c r="AP39" s="680"/>
    </row>
    <row r="40" spans="1:42" s="705" customFormat="1" x14ac:dyDescent="0.25">
      <c r="A40" s="704"/>
      <c r="B40" s="708" t="s">
        <v>61</v>
      </c>
      <c r="C40" s="709">
        <f>'Synthèse ECO'!AP92</f>
        <v>6064850</v>
      </c>
      <c r="D40" s="709">
        <f>'Synthèse ECO'!AX92</f>
        <v>690000</v>
      </c>
      <c r="E40" s="709">
        <f>'Synthèse ECO'!BF92</f>
        <v>796518.11250000016</v>
      </c>
      <c r="F40" s="709">
        <f>'Synthèse ECO'!BN92</f>
        <v>132600</v>
      </c>
      <c r="G40" s="720">
        <f t="shared" si="9"/>
        <v>5.7848942214007257</v>
      </c>
      <c r="H40" s="721">
        <f t="shared" si="10"/>
        <v>0.50516842140334506</v>
      </c>
      <c r="I40" s="704"/>
      <c r="J40" s="680"/>
      <c r="K40" s="680"/>
      <c r="L40" s="680"/>
      <c r="M40" s="680"/>
      <c r="N40" s="680"/>
      <c r="O40" s="680"/>
      <c r="P40" s="680"/>
      <c r="Q40" s="680"/>
      <c r="R40" s="680"/>
      <c r="S40" s="680"/>
      <c r="T40" s="680"/>
      <c r="U40" s="680"/>
      <c r="V40" s="680"/>
      <c r="W40" s="680"/>
      <c r="X40" s="680"/>
      <c r="Y40" s="680"/>
      <c r="Z40" s="680"/>
      <c r="AA40" s="680"/>
      <c r="AB40" s="680"/>
      <c r="AC40" s="680"/>
      <c r="AD40" s="680"/>
      <c r="AE40" s="680"/>
      <c r="AF40" s="680"/>
      <c r="AG40" s="680"/>
      <c r="AH40" s="680"/>
      <c r="AI40" s="680"/>
      <c r="AJ40" s="680"/>
      <c r="AK40" s="680"/>
      <c r="AL40" s="680"/>
      <c r="AM40" s="680"/>
      <c r="AN40" s="680"/>
      <c r="AO40" s="680"/>
      <c r="AP40" s="680"/>
    </row>
    <row r="41" spans="1:42" s="705" customFormat="1" x14ac:dyDescent="0.25">
      <c r="A41" s="704"/>
      <c r="B41" s="708" t="s">
        <v>35</v>
      </c>
      <c r="C41" s="709">
        <f>'Synthèse ECO'!AQ92</f>
        <v>1270000</v>
      </c>
      <c r="D41" s="709">
        <f>'Synthèse ECO'!AY92</f>
        <v>350000</v>
      </c>
      <c r="E41" s="709">
        <f>'Synthèse ECO'!BG92</f>
        <v>50325.33526570048</v>
      </c>
      <c r="F41" s="709">
        <f>'Synthèse ECO'!BO92</f>
        <v>0</v>
      </c>
      <c r="G41" s="720">
        <f t="shared" si="9"/>
        <v>18.281050590974029</v>
      </c>
      <c r="H41" s="721">
        <f t="shared" si="10"/>
        <v>0.10578396748184181</v>
      </c>
      <c r="I41" s="704"/>
      <c r="J41" s="680"/>
      <c r="K41" s="680"/>
      <c r="L41" s="680"/>
      <c r="M41" s="680"/>
      <c r="N41" s="680"/>
      <c r="O41" s="680"/>
      <c r="P41" s="680"/>
      <c r="Q41" s="680"/>
      <c r="R41" s="680"/>
      <c r="S41" s="680"/>
      <c r="T41" s="680"/>
      <c r="U41" s="680"/>
      <c r="V41" s="680"/>
      <c r="W41" s="680"/>
      <c r="X41" s="680"/>
      <c r="Y41" s="680"/>
      <c r="Z41" s="680"/>
      <c r="AA41" s="680"/>
      <c r="AB41" s="680"/>
      <c r="AC41" s="680"/>
      <c r="AD41" s="680"/>
      <c r="AE41" s="680"/>
      <c r="AF41" s="680"/>
      <c r="AG41" s="680"/>
      <c r="AH41" s="680"/>
      <c r="AI41" s="680"/>
      <c r="AJ41" s="680"/>
      <c r="AK41" s="680"/>
      <c r="AL41" s="680"/>
      <c r="AM41" s="680"/>
      <c r="AN41" s="680"/>
      <c r="AO41" s="680"/>
      <c r="AP41" s="680"/>
    </row>
    <row r="42" spans="1:42" s="705" customFormat="1" x14ac:dyDescent="0.25">
      <c r="A42" s="704"/>
      <c r="B42" s="722" t="s">
        <v>41</v>
      </c>
      <c r="C42" s="709">
        <f>'Synthèse ECO'!AR92</f>
        <v>829455</v>
      </c>
      <c r="D42" s="709">
        <f>'Synthèse ECO'!AZ92</f>
        <v>0</v>
      </c>
      <c r="E42" s="709">
        <f>'Synthèse ECO'!BH92</f>
        <v>2</v>
      </c>
      <c r="F42" s="709">
        <f>'Synthèse ECO'!BP92</f>
        <v>39780</v>
      </c>
      <c r="G42" s="720">
        <f t="shared" si="9"/>
        <v>20.850007541098989</v>
      </c>
      <c r="H42" s="721">
        <f t="shared" si="10"/>
        <v>6.9089008462717399E-2</v>
      </c>
      <c r="I42" s="704"/>
      <c r="J42" s="680"/>
      <c r="K42" s="680"/>
      <c r="L42" s="680"/>
      <c r="M42" s="680"/>
      <c r="N42" s="680"/>
      <c r="O42" s="680"/>
      <c r="P42" s="680"/>
      <c r="Q42" s="680"/>
      <c r="R42" s="680"/>
      <c r="S42" s="680"/>
      <c r="T42" s="680"/>
      <c r="U42" s="680"/>
      <c r="V42" s="680"/>
      <c r="W42" s="680"/>
      <c r="X42" s="680"/>
      <c r="Y42" s="680"/>
      <c r="Z42" s="680"/>
      <c r="AA42" s="680"/>
      <c r="AB42" s="680"/>
      <c r="AC42" s="680"/>
      <c r="AD42" s="680"/>
      <c r="AE42" s="680"/>
      <c r="AF42" s="680"/>
      <c r="AG42" s="680"/>
      <c r="AH42" s="680"/>
      <c r="AI42" s="680"/>
      <c r="AJ42" s="680"/>
      <c r="AK42" s="680"/>
      <c r="AL42" s="680"/>
      <c r="AM42" s="680"/>
      <c r="AN42" s="680"/>
      <c r="AO42" s="680"/>
      <c r="AP42" s="680"/>
    </row>
    <row r="43" spans="1:42" s="705" customFormat="1" x14ac:dyDescent="0.25">
      <c r="A43" s="704"/>
      <c r="B43" s="706" t="s">
        <v>37</v>
      </c>
      <c r="C43" s="723">
        <f>'Synthèse ECO'!AS92</f>
        <v>2645000</v>
      </c>
      <c r="D43" s="723">
        <f>'Synthèse ECO'!BA92</f>
        <v>0</v>
      </c>
      <c r="E43" s="723">
        <f>'Synthèse ECO'!BI92</f>
        <v>126858.4</v>
      </c>
      <c r="F43" s="723">
        <f>'Synthèse ECO'!BQ92</f>
        <v>0</v>
      </c>
      <c r="G43" s="720">
        <f t="shared" si="9"/>
        <v>20.850018603419247</v>
      </c>
      <c r="H43" s="721">
        <f t="shared" si="10"/>
        <v>0.22031385353501698</v>
      </c>
      <c r="I43" s="704"/>
      <c r="J43" s="680"/>
      <c r="K43" s="680"/>
      <c r="L43" s="680"/>
      <c r="M43" s="680"/>
      <c r="N43" s="680"/>
      <c r="O43" s="680"/>
      <c r="P43" s="680"/>
      <c r="Q43" s="680"/>
      <c r="R43" s="680"/>
      <c r="S43" s="680"/>
      <c r="T43" s="680"/>
      <c r="U43" s="680"/>
      <c r="V43" s="680"/>
      <c r="W43" s="680"/>
      <c r="X43" s="680"/>
      <c r="Y43" s="680"/>
      <c r="Z43" s="680"/>
      <c r="AA43" s="680"/>
      <c r="AB43" s="680"/>
      <c r="AC43" s="680"/>
      <c r="AD43" s="680"/>
      <c r="AE43" s="680"/>
      <c r="AF43" s="680"/>
      <c r="AG43" s="680"/>
      <c r="AH43" s="680"/>
      <c r="AI43" s="680"/>
      <c r="AJ43" s="680"/>
      <c r="AK43" s="680"/>
      <c r="AL43" s="680"/>
      <c r="AM43" s="680"/>
      <c r="AN43" s="680"/>
      <c r="AO43" s="680"/>
      <c r="AP43" s="680"/>
    </row>
    <row r="44" spans="1:42" s="705" customFormat="1" x14ac:dyDescent="0.25">
      <c r="A44" s="704"/>
      <c r="B44" s="712" t="s">
        <v>40</v>
      </c>
      <c r="C44" s="709">
        <f>'Synthèse ECO'!AT92</f>
        <v>480810</v>
      </c>
      <c r="D44" s="709">
        <f>'Synthèse ECO'!BB92</f>
        <v>243643.33333333337</v>
      </c>
      <c r="E44" s="709">
        <f>'Synthèse ECO'!BJ92</f>
        <v>16920.8</v>
      </c>
      <c r="F44" s="709">
        <f>'Synthèse ECO'!BR92</f>
        <v>8968.0499999999993</v>
      </c>
      <c r="G44" s="720">
        <f t="shared" si="9"/>
        <v>9.1609579671042418</v>
      </c>
      <c r="H44" s="721">
        <f t="shared" si="10"/>
        <v>4.0048810555074296E-2</v>
      </c>
      <c r="I44" s="704"/>
      <c r="J44" s="680"/>
      <c r="K44" s="680"/>
      <c r="L44" s="680"/>
      <c r="M44" s="680"/>
      <c r="N44" s="680"/>
      <c r="O44" s="680"/>
      <c r="P44" s="680"/>
      <c r="Q44" s="680"/>
      <c r="R44" s="680"/>
      <c r="S44" s="680"/>
      <c r="T44" s="680"/>
      <c r="U44" s="680"/>
      <c r="V44" s="680"/>
      <c r="W44" s="680"/>
      <c r="X44" s="680"/>
      <c r="Y44" s="680"/>
      <c r="Z44" s="680"/>
      <c r="AA44" s="680"/>
      <c r="AB44" s="680"/>
      <c r="AC44" s="680"/>
      <c r="AD44" s="680"/>
      <c r="AE44" s="680"/>
      <c r="AF44" s="680"/>
      <c r="AG44" s="680"/>
      <c r="AH44" s="680"/>
      <c r="AI44" s="680"/>
      <c r="AJ44" s="680"/>
      <c r="AK44" s="680"/>
      <c r="AL44" s="680"/>
      <c r="AM44" s="680"/>
      <c r="AN44" s="680"/>
      <c r="AO44" s="680"/>
      <c r="AP44" s="680"/>
    </row>
    <row r="45" spans="1:42" s="705" customFormat="1" x14ac:dyDescent="0.25">
      <c r="A45" s="704"/>
      <c r="B45" s="715" t="s">
        <v>395</v>
      </c>
      <c r="C45" s="724">
        <f>SUM(C38:C44)</f>
        <v>12005600</v>
      </c>
      <c r="D45" s="724">
        <f t="shared" ref="D45:F45" si="11">SUM(D38:D44)</f>
        <v>1419143.3333333335</v>
      </c>
      <c r="E45" s="724">
        <f t="shared" si="11"/>
        <v>1078343.5314657006</v>
      </c>
      <c r="F45" s="724">
        <f t="shared" si="11"/>
        <v>212403.75</v>
      </c>
      <c r="G45" s="725">
        <f t="shared" si="9"/>
        <v>8.2018043490630301</v>
      </c>
      <c r="H45" s="721">
        <f t="shared" si="10"/>
        <v>1</v>
      </c>
      <c r="I45" s="704"/>
      <c r="J45" s="680"/>
      <c r="K45" s="680"/>
      <c r="L45" s="680"/>
      <c r="M45" s="680"/>
      <c r="N45" s="680"/>
      <c r="O45" s="680"/>
      <c r="P45" s="680"/>
      <c r="Q45" s="680"/>
      <c r="R45" s="680"/>
      <c r="S45" s="680"/>
      <c r="T45" s="680"/>
      <c r="U45" s="680"/>
      <c r="V45" s="680"/>
      <c r="W45" s="680"/>
      <c r="X45" s="680"/>
      <c r="Y45" s="680"/>
      <c r="Z45" s="680"/>
      <c r="AA45" s="680"/>
      <c r="AB45" s="680"/>
      <c r="AC45" s="680"/>
      <c r="AD45" s="680"/>
      <c r="AE45" s="680"/>
      <c r="AF45" s="680"/>
      <c r="AG45" s="680"/>
      <c r="AH45" s="680"/>
      <c r="AI45" s="680"/>
      <c r="AJ45" s="680"/>
      <c r="AK45" s="680"/>
      <c r="AL45" s="680"/>
      <c r="AM45" s="680"/>
      <c r="AN45" s="680"/>
      <c r="AO45" s="680"/>
      <c r="AP45" s="680"/>
    </row>
    <row r="47" spans="1:42" s="728" customFormat="1" ht="18.75" x14ac:dyDescent="0.3">
      <c r="A47" s="726" t="s">
        <v>52</v>
      </c>
      <c r="B47" s="727"/>
      <c r="C47" s="727"/>
      <c r="D47" s="839" t="s">
        <v>937</v>
      </c>
      <c r="E47" s="839"/>
      <c r="F47" s="839"/>
      <c r="G47" s="727"/>
      <c r="H47" s="727"/>
      <c r="I47" s="727"/>
      <c r="J47" s="680"/>
      <c r="K47" s="680"/>
      <c r="L47" s="680"/>
      <c r="M47" s="680"/>
      <c r="N47" s="680"/>
      <c r="O47" s="680"/>
      <c r="P47" s="680"/>
      <c r="Q47" s="680"/>
      <c r="R47" s="680"/>
      <c r="S47" s="680"/>
      <c r="T47" s="680"/>
      <c r="U47" s="680"/>
      <c r="V47" s="680"/>
      <c r="W47" s="680"/>
      <c r="X47" s="680"/>
      <c r="Y47" s="680"/>
      <c r="Z47" s="680"/>
      <c r="AA47" s="680"/>
      <c r="AB47" s="680"/>
      <c r="AC47" s="680"/>
      <c r="AD47" s="680"/>
      <c r="AE47" s="680"/>
      <c r="AF47" s="680"/>
      <c r="AG47" s="680"/>
      <c r="AH47" s="680"/>
      <c r="AI47" s="680"/>
      <c r="AJ47" s="680"/>
      <c r="AK47" s="680"/>
      <c r="AL47" s="680"/>
      <c r="AM47" s="680"/>
      <c r="AN47" s="680"/>
      <c r="AO47" s="680"/>
      <c r="AP47" s="680"/>
    </row>
    <row r="48" spans="1:42" s="728" customFormat="1" x14ac:dyDescent="0.25">
      <c r="A48" s="727"/>
      <c r="B48" s="727"/>
      <c r="C48" s="727"/>
      <c r="D48" s="727"/>
      <c r="E48" s="727"/>
      <c r="F48" s="727"/>
      <c r="G48" s="727"/>
      <c r="H48" s="727"/>
      <c r="I48" s="727"/>
      <c r="J48" s="680"/>
      <c r="K48" s="680"/>
      <c r="L48" s="680"/>
      <c r="M48" s="680"/>
      <c r="N48" s="680"/>
      <c r="O48" s="680"/>
      <c r="P48" s="680"/>
      <c r="Q48" s="680"/>
      <c r="R48" s="680"/>
      <c r="S48" s="680"/>
      <c r="T48" s="680"/>
      <c r="U48" s="680"/>
      <c r="V48" s="680"/>
      <c r="W48" s="680"/>
      <c r="X48" s="680"/>
      <c r="Y48" s="680"/>
      <c r="Z48" s="680"/>
      <c r="AA48" s="680"/>
      <c r="AB48" s="680"/>
      <c r="AC48" s="680"/>
      <c r="AD48" s="680"/>
      <c r="AE48" s="680"/>
      <c r="AF48" s="680"/>
      <c r="AG48" s="680"/>
      <c r="AH48" s="680"/>
      <c r="AI48" s="680"/>
      <c r="AJ48" s="680"/>
      <c r="AK48" s="680"/>
      <c r="AL48" s="680"/>
      <c r="AM48" s="680"/>
      <c r="AN48" s="680"/>
      <c r="AO48" s="680"/>
      <c r="AP48" s="680"/>
    </row>
    <row r="49" spans="1:42" s="728" customFormat="1" x14ac:dyDescent="0.25">
      <c r="A49" s="727"/>
      <c r="B49" s="729" t="s">
        <v>16</v>
      </c>
      <c r="C49" s="729" t="s">
        <v>49</v>
      </c>
      <c r="D49" s="729" t="s">
        <v>7</v>
      </c>
      <c r="E49" s="729" t="s">
        <v>50</v>
      </c>
      <c r="F49" s="729" t="s">
        <v>51</v>
      </c>
      <c r="G49" s="727"/>
      <c r="H49" s="730" t="s">
        <v>13</v>
      </c>
      <c r="I49" s="727"/>
      <c r="J49" s="680"/>
      <c r="K49" s="680"/>
      <c r="L49" s="680"/>
      <c r="M49" s="680"/>
      <c r="N49" s="680"/>
      <c r="O49" s="680"/>
      <c r="P49" s="680"/>
      <c r="Q49" s="680"/>
      <c r="R49" s="680"/>
      <c r="S49" s="680"/>
      <c r="T49" s="680"/>
      <c r="U49" s="680"/>
      <c r="V49" s="680"/>
      <c r="W49" s="680"/>
      <c r="X49" s="680"/>
      <c r="Y49" s="680"/>
      <c r="Z49" s="680"/>
      <c r="AA49" s="680"/>
      <c r="AB49" s="680"/>
      <c r="AC49" s="680"/>
      <c r="AD49" s="680"/>
      <c r="AE49" s="680"/>
      <c r="AF49" s="680"/>
      <c r="AG49" s="680"/>
      <c r="AH49" s="680"/>
      <c r="AI49" s="680"/>
      <c r="AJ49" s="680"/>
      <c r="AK49" s="680"/>
      <c r="AL49" s="680"/>
      <c r="AM49" s="680"/>
      <c r="AN49" s="680"/>
      <c r="AO49" s="680"/>
      <c r="AP49" s="680"/>
    </row>
    <row r="50" spans="1:42" s="728" customFormat="1" x14ac:dyDescent="0.25">
      <c r="A50" s="727"/>
      <c r="B50" s="731" t="s">
        <v>86</v>
      </c>
      <c r="C50" s="732">
        <f>C27+C4</f>
        <v>3788547</v>
      </c>
      <c r="D50" s="732">
        <f>D27+D4</f>
        <v>1241110.3333333335</v>
      </c>
      <c r="E50" s="732">
        <f t="shared" ref="E50:E55" si="12">C50-D50</f>
        <v>2547436.6666666665</v>
      </c>
      <c r="F50" s="733">
        <f t="shared" ref="F50:F56" si="13">E50/24</f>
        <v>106143.19444444444</v>
      </c>
      <c r="G50" s="727"/>
      <c r="H50" s="734">
        <f>C50/C$56</f>
        <v>0.11294433505930393</v>
      </c>
      <c r="I50" s="727"/>
      <c r="J50" s="680"/>
      <c r="K50" s="680"/>
      <c r="L50" s="680"/>
      <c r="M50" s="680"/>
      <c r="N50" s="680"/>
      <c r="O50" s="680"/>
      <c r="P50" s="680"/>
      <c r="Q50" s="680"/>
      <c r="R50" s="680"/>
      <c r="S50" s="680"/>
      <c r="T50" s="680"/>
      <c r="U50" s="680"/>
      <c r="V50" s="680"/>
      <c r="W50" s="680"/>
      <c r="X50" s="680"/>
      <c r="Y50" s="680"/>
      <c r="Z50" s="680"/>
      <c r="AA50" s="680"/>
      <c r="AB50" s="680"/>
      <c r="AC50" s="680"/>
      <c r="AD50" s="680"/>
      <c r="AE50" s="680"/>
      <c r="AF50" s="680"/>
      <c r="AG50" s="680"/>
      <c r="AH50" s="680"/>
      <c r="AI50" s="680"/>
      <c r="AJ50" s="680"/>
      <c r="AK50" s="680"/>
      <c r="AL50" s="680"/>
      <c r="AM50" s="680"/>
      <c r="AN50" s="680"/>
      <c r="AO50" s="680"/>
      <c r="AP50" s="680"/>
    </row>
    <row r="51" spans="1:42" s="728" customFormat="1" x14ac:dyDescent="0.25">
      <c r="A51" s="727"/>
      <c r="B51" s="731" t="s">
        <v>38</v>
      </c>
      <c r="C51" s="732">
        <f t="shared" ref="C51:D55" si="14">C28+C5</f>
        <v>711485</v>
      </c>
      <c r="D51" s="732">
        <f t="shared" si="14"/>
        <v>135500</v>
      </c>
      <c r="E51" s="732">
        <f t="shared" si="12"/>
        <v>575985</v>
      </c>
      <c r="F51" s="733">
        <f t="shared" si="13"/>
        <v>23999.375</v>
      </c>
      <c r="G51" s="727"/>
      <c r="H51" s="734">
        <f t="shared" ref="H51:H56" si="15">C51/C$56</f>
        <v>2.1210823101750844E-2</v>
      </c>
      <c r="I51" s="727"/>
      <c r="J51" s="680"/>
      <c r="K51" s="680"/>
      <c r="L51" s="680"/>
      <c r="M51" s="680"/>
      <c r="N51" s="680"/>
      <c r="O51" s="680"/>
      <c r="P51" s="680"/>
      <c r="Q51" s="680"/>
      <c r="R51" s="680"/>
      <c r="S51" s="680"/>
      <c r="T51" s="680"/>
      <c r="U51" s="680"/>
      <c r="V51" s="680"/>
      <c r="W51" s="680"/>
      <c r="X51" s="680"/>
      <c r="Y51" s="680"/>
      <c r="Z51" s="680"/>
      <c r="AA51" s="680"/>
      <c r="AB51" s="680"/>
      <c r="AC51" s="680"/>
      <c r="AD51" s="680"/>
      <c r="AE51" s="680"/>
      <c r="AF51" s="680"/>
      <c r="AG51" s="680"/>
      <c r="AH51" s="680"/>
      <c r="AI51" s="680"/>
      <c r="AJ51" s="680"/>
      <c r="AK51" s="680"/>
      <c r="AL51" s="680"/>
      <c r="AM51" s="680"/>
      <c r="AN51" s="680"/>
      <c r="AO51" s="680"/>
      <c r="AP51" s="680"/>
    </row>
    <row r="52" spans="1:42" s="728" customFormat="1" x14ac:dyDescent="0.25">
      <c r="A52" s="727"/>
      <c r="B52" s="731" t="s">
        <v>36</v>
      </c>
      <c r="C52" s="732">
        <f t="shared" si="14"/>
        <v>20673136.880772762</v>
      </c>
      <c r="D52" s="732">
        <f t="shared" si="14"/>
        <v>1902042.891206352</v>
      </c>
      <c r="E52" s="732">
        <f t="shared" si="12"/>
        <v>18771093.989566408</v>
      </c>
      <c r="F52" s="733">
        <f t="shared" si="13"/>
        <v>782128.91623193363</v>
      </c>
      <c r="G52" s="727"/>
      <c r="H52" s="734">
        <f t="shared" si="15"/>
        <v>0.61630849467852766</v>
      </c>
      <c r="I52" s="727"/>
      <c r="J52" s="680"/>
      <c r="K52" s="680"/>
      <c r="L52" s="680"/>
      <c r="M52" s="680"/>
      <c r="N52" s="680"/>
      <c r="O52" s="680"/>
      <c r="P52" s="680"/>
      <c r="Q52" s="680"/>
      <c r="R52" s="680"/>
      <c r="S52" s="680"/>
      <c r="T52" s="680"/>
      <c r="U52" s="680"/>
      <c r="V52" s="680"/>
      <c r="W52" s="680"/>
      <c r="X52" s="680"/>
      <c r="Y52" s="680"/>
      <c r="Z52" s="680"/>
      <c r="AA52" s="680"/>
      <c r="AB52" s="680"/>
      <c r="AC52" s="680"/>
      <c r="AD52" s="680"/>
      <c r="AE52" s="680"/>
      <c r="AF52" s="680"/>
      <c r="AG52" s="680"/>
      <c r="AH52" s="680"/>
      <c r="AI52" s="680"/>
      <c r="AJ52" s="680"/>
      <c r="AK52" s="680"/>
      <c r="AL52" s="680"/>
      <c r="AM52" s="680"/>
      <c r="AN52" s="680"/>
      <c r="AO52" s="680"/>
      <c r="AP52" s="680"/>
    </row>
    <row r="53" spans="1:42" s="728" customFormat="1" x14ac:dyDescent="0.25">
      <c r="A53" s="727"/>
      <c r="B53" s="735" t="s">
        <v>518</v>
      </c>
      <c r="C53" s="732">
        <f t="shared" si="14"/>
        <v>456814.5820238844</v>
      </c>
      <c r="D53" s="732">
        <f t="shared" si="14"/>
        <v>137044.37460716531</v>
      </c>
      <c r="E53" s="732">
        <f t="shared" si="12"/>
        <v>319770.20741671906</v>
      </c>
      <c r="F53" s="733">
        <f t="shared" si="13"/>
        <v>13323.758642363295</v>
      </c>
      <c r="G53" s="727"/>
      <c r="H53" s="734">
        <f t="shared" si="15"/>
        <v>1.3618577046049969E-2</v>
      </c>
      <c r="I53" s="727"/>
      <c r="J53" s="680"/>
      <c r="K53" s="680"/>
      <c r="L53" s="680"/>
      <c r="M53" s="680"/>
      <c r="N53" s="680"/>
      <c r="O53" s="680"/>
      <c r="P53" s="680"/>
      <c r="Q53" s="680"/>
      <c r="R53" s="680"/>
      <c r="S53" s="680"/>
      <c r="T53" s="680"/>
      <c r="U53" s="680"/>
      <c r="V53" s="680"/>
      <c r="W53" s="680"/>
      <c r="X53" s="680"/>
      <c r="Y53" s="680"/>
      <c r="Z53" s="680"/>
      <c r="AA53" s="680"/>
      <c r="AB53" s="680"/>
      <c r="AC53" s="680"/>
      <c r="AD53" s="680"/>
      <c r="AE53" s="680"/>
      <c r="AF53" s="680"/>
      <c r="AG53" s="680"/>
      <c r="AH53" s="680"/>
      <c r="AI53" s="680"/>
      <c r="AJ53" s="680"/>
      <c r="AK53" s="680"/>
      <c r="AL53" s="680"/>
      <c r="AM53" s="680"/>
      <c r="AN53" s="680"/>
      <c r="AO53" s="680"/>
      <c r="AP53" s="680"/>
    </row>
    <row r="54" spans="1:42" s="728" customFormat="1" x14ac:dyDescent="0.25">
      <c r="A54" s="727"/>
      <c r="B54" s="736" t="s">
        <v>61</v>
      </c>
      <c r="C54" s="732">
        <f t="shared" si="14"/>
        <v>6259850</v>
      </c>
      <c r="D54" s="732">
        <f t="shared" si="14"/>
        <v>729000</v>
      </c>
      <c r="E54" s="732">
        <f t="shared" si="12"/>
        <v>5530850</v>
      </c>
      <c r="F54" s="733">
        <f t="shared" si="13"/>
        <v>230452.08333333334</v>
      </c>
      <c r="G54" s="727"/>
      <c r="H54" s="734">
        <f t="shared" si="15"/>
        <v>0.18661893222414389</v>
      </c>
      <c r="I54" s="727"/>
      <c r="J54" s="680"/>
      <c r="K54" s="680"/>
      <c r="L54" s="680"/>
      <c r="M54" s="680"/>
      <c r="N54" s="680"/>
      <c r="O54" s="680"/>
      <c r="P54" s="680"/>
      <c r="Q54" s="680"/>
      <c r="R54" s="680"/>
      <c r="S54" s="680"/>
      <c r="T54" s="680"/>
      <c r="U54" s="680"/>
      <c r="V54" s="680"/>
      <c r="W54" s="680"/>
      <c r="X54" s="680"/>
      <c r="Y54" s="680"/>
      <c r="Z54" s="680"/>
      <c r="AA54" s="680"/>
      <c r="AB54" s="680"/>
      <c r="AC54" s="680"/>
      <c r="AD54" s="680"/>
      <c r="AE54" s="680"/>
      <c r="AF54" s="680"/>
      <c r="AG54" s="680"/>
      <c r="AH54" s="680"/>
      <c r="AI54" s="680"/>
      <c r="AJ54" s="680"/>
      <c r="AK54" s="680"/>
      <c r="AL54" s="680"/>
      <c r="AM54" s="680"/>
      <c r="AN54" s="680"/>
      <c r="AO54" s="680"/>
      <c r="AP54" s="680"/>
    </row>
    <row r="55" spans="1:42" s="728" customFormat="1" x14ac:dyDescent="0.25">
      <c r="A55" s="727"/>
      <c r="B55" s="736" t="s">
        <v>41</v>
      </c>
      <c r="C55" s="732">
        <f t="shared" si="14"/>
        <v>1653655</v>
      </c>
      <c r="D55" s="732">
        <f t="shared" si="14"/>
        <v>140000</v>
      </c>
      <c r="E55" s="732">
        <f t="shared" si="12"/>
        <v>1513655</v>
      </c>
      <c r="F55" s="733">
        <f t="shared" si="13"/>
        <v>63068.958333333336</v>
      </c>
      <c r="G55" s="727"/>
      <c r="H55" s="734">
        <f t="shared" si="15"/>
        <v>4.9298837890223671E-2</v>
      </c>
      <c r="I55" s="727"/>
      <c r="J55" s="680"/>
      <c r="K55" s="680"/>
      <c r="L55" s="680"/>
      <c r="M55" s="680"/>
      <c r="N55" s="680"/>
      <c r="O55" s="680"/>
      <c r="P55" s="680"/>
      <c r="Q55" s="680"/>
      <c r="R55" s="680"/>
      <c r="S55" s="680"/>
      <c r="T55" s="680"/>
      <c r="U55" s="680"/>
      <c r="V55" s="680"/>
      <c r="W55" s="680"/>
      <c r="X55" s="680"/>
      <c r="Y55" s="680"/>
      <c r="Z55" s="680"/>
      <c r="AA55" s="680"/>
      <c r="AB55" s="680"/>
      <c r="AC55" s="680"/>
      <c r="AD55" s="680"/>
      <c r="AE55" s="680"/>
      <c r="AF55" s="680"/>
      <c r="AG55" s="680"/>
      <c r="AH55" s="680"/>
      <c r="AI55" s="680"/>
      <c r="AJ55" s="680"/>
      <c r="AK55" s="680"/>
      <c r="AL55" s="680"/>
      <c r="AM55" s="680"/>
      <c r="AN55" s="680"/>
      <c r="AO55" s="680"/>
      <c r="AP55" s="680"/>
    </row>
    <row r="56" spans="1:42" s="728" customFormat="1" x14ac:dyDescent="0.25">
      <c r="A56" s="727"/>
      <c r="B56" s="737" t="s">
        <v>395</v>
      </c>
      <c r="C56" s="738">
        <f>SUM(C50:C55)</f>
        <v>33543488.462796647</v>
      </c>
      <c r="D56" s="739">
        <f>SUM(D50:D55)</f>
        <v>4284697.5991468504</v>
      </c>
      <c r="E56" s="739">
        <f>SUM(E50:E55)</f>
        <v>29258790.863649797</v>
      </c>
      <c r="F56" s="733">
        <f t="shared" si="13"/>
        <v>1219116.2859854081</v>
      </c>
      <c r="G56" s="727"/>
      <c r="H56" s="734">
        <f t="shared" si="15"/>
        <v>1</v>
      </c>
      <c r="I56" s="727"/>
      <c r="J56" s="680"/>
      <c r="K56" s="680"/>
      <c r="L56" s="680"/>
      <c r="M56" s="680"/>
      <c r="N56" s="680"/>
      <c r="O56" s="680"/>
      <c r="P56" s="680"/>
      <c r="Q56" s="680"/>
      <c r="R56" s="680"/>
      <c r="S56" s="680"/>
      <c r="T56" s="680"/>
      <c r="U56" s="680"/>
      <c r="V56" s="680"/>
      <c r="W56" s="680"/>
      <c r="X56" s="680"/>
      <c r="Y56" s="680"/>
      <c r="Z56" s="680"/>
      <c r="AA56" s="680"/>
      <c r="AB56" s="680"/>
      <c r="AC56" s="680"/>
      <c r="AD56" s="680"/>
      <c r="AE56" s="680"/>
      <c r="AF56" s="680"/>
      <c r="AG56" s="680"/>
      <c r="AH56" s="680"/>
      <c r="AI56" s="680"/>
      <c r="AJ56" s="680"/>
      <c r="AK56" s="680"/>
      <c r="AL56" s="680"/>
      <c r="AM56" s="680"/>
      <c r="AN56" s="680"/>
      <c r="AO56" s="680"/>
      <c r="AP56" s="680"/>
    </row>
    <row r="57" spans="1:42" s="728" customFormat="1" x14ac:dyDescent="0.25">
      <c r="A57" s="727"/>
      <c r="B57" s="727"/>
      <c r="C57" s="727"/>
      <c r="D57" s="727"/>
      <c r="E57" s="727"/>
      <c r="F57" s="727"/>
      <c r="G57" s="727"/>
      <c r="H57" s="727"/>
      <c r="I57" s="727"/>
      <c r="J57" s="680"/>
      <c r="K57" s="680"/>
      <c r="L57" s="680"/>
      <c r="M57" s="680"/>
      <c r="N57" s="680"/>
      <c r="O57" s="680"/>
      <c r="P57" s="680"/>
      <c r="Q57" s="680"/>
      <c r="R57" s="680"/>
      <c r="S57" s="680"/>
      <c r="T57" s="680"/>
      <c r="U57" s="680"/>
      <c r="V57" s="680"/>
      <c r="W57" s="680"/>
      <c r="X57" s="680"/>
      <c r="Y57" s="680"/>
      <c r="Z57" s="680"/>
      <c r="AA57" s="680"/>
      <c r="AB57" s="680"/>
      <c r="AC57" s="680"/>
      <c r="AD57" s="680"/>
      <c r="AE57" s="680"/>
      <c r="AF57" s="680"/>
      <c r="AG57" s="680"/>
      <c r="AH57" s="680"/>
      <c r="AI57" s="680"/>
      <c r="AJ57" s="680"/>
      <c r="AK57" s="680"/>
      <c r="AL57" s="680"/>
      <c r="AM57" s="680"/>
      <c r="AN57" s="680"/>
      <c r="AO57" s="680"/>
      <c r="AP57" s="680"/>
    </row>
    <row r="58" spans="1:42" s="728" customFormat="1" ht="18.75" x14ac:dyDescent="0.3">
      <c r="A58" s="726" t="s">
        <v>53</v>
      </c>
      <c r="B58" s="740"/>
      <c r="C58" s="727"/>
      <c r="D58" s="727"/>
      <c r="E58" s="727"/>
      <c r="F58" s="727"/>
      <c r="G58" s="727"/>
      <c r="H58" s="727"/>
      <c r="I58" s="727"/>
      <c r="J58" s="680"/>
      <c r="K58" s="680"/>
      <c r="L58" s="680"/>
      <c r="M58" s="680"/>
      <c r="N58" s="680"/>
      <c r="O58" s="680"/>
      <c r="P58" s="680"/>
      <c r="Q58" s="680"/>
      <c r="R58" s="680"/>
      <c r="S58" s="680"/>
      <c r="T58" s="680"/>
      <c r="U58" s="680"/>
      <c r="V58" s="680"/>
      <c r="W58" s="680"/>
      <c r="X58" s="680"/>
      <c r="Y58" s="680"/>
      <c r="Z58" s="680"/>
      <c r="AA58" s="680"/>
      <c r="AB58" s="680"/>
      <c r="AC58" s="680"/>
      <c r="AD58" s="680"/>
      <c r="AE58" s="680"/>
      <c r="AF58" s="680"/>
      <c r="AG58" s="680"/>
      <c r="AH58" s="680"/>
      <c r="AI58" s="680"/>
      <c r="AJ58" s="680"/>
      <c r="AK58" s="680"/>
      <c r="AL58" s="680"/>
      <c r="AM58" s="680"/>
      <c r="AN58" s="680"/>
      <c r="AO58" s="680"/>
      <c r="AP58" s="680"/>
    </row>
    <row r="59" spans="1:42" s="728" customFormat="1" x14ac:dyDescent="0.25">
      <c r="A59" s="727"/>
      <c r="B59" s="727"/>
      <c r="C59" s="727"/>
      <c r="D59" s="727"/>
      <c r="E59" s="727"/>
      <c r="F59" s="727"/>
      <c r="G59" s="727"/>
      <c r="H59" s="727"/>
      <c r="I59" s="727"/>
      <c r="J59" s="680"/>
      <c r="K59" s="680"/>
      <c r="L59" s="680"/>
      <c r="M59" s="680"/>
      <c r="N59" s="680"/>
      <c r="O59" s="680"/>
      <c r="P59" s="680"/>
      <c r="Q59" s="680"/>
      <c r="R59" s="680"/>
      <c r="S59" s="680"/>
      <c r="T59" s="680"/>
      <c r="U59" s="680"/>
      <c r="V59" s="680"/>
      <c r="W59" s="680"/>
      <c r="X59" s="680"/>
      <c r="Y59" s="680"/>
      <c r="Z59" s="680"/>
      <c r="AA59" s="680"/>
      <c r="AB59" s="680"/>
      <c r="AC59" s="680"/>
      <c r="AD59" s="680"/>
      <c r="AE59" s="680"/>
      <c r="AF59" s="680"/>
      <c r="AG59" s="680"/>
      <c r="AH59" s="680"/>
      <c r="AI59" s="680"/>
      <c r="AJ59" s="680"/>
      <c r="AK59" s="680"/>
      <c r="AL59" s="680"/>
      <c r="AM59" s="680"/>
      <c r="AN59" s="680"/>
      <c r="AO59" s="680"/>
      <c r="AP59" s="680"/>
    </row>
    <row r="60" spans="1:42" s="728" customFormat="1" x14ac:dyDescent="0.25">
      <c r="A60" s="727"/>
      <c r="B60" s="731" t="s">
        <v>47</v>
      </c>
      <c r="C60" s="729" t="s">
        <v>48</v>
      </c>
      <c r="D60" s="729" t="s">
        <v>7</v>
      </c>
      <c r="E60" s="729" t="s">
        <v>8</v>
      </c>
      <c r="F60" s="729" t="s">
        <v>28</v>
      </c>
      <c r="G60" s="741" t="s">
        <v>29</v>
      </c>
      <c r="H60" s="730" t="s">
        <v>13</v>
      </c>
      <c r="I60" s="727"/>
      <c r="J60" s="680"/>
      <c r="K60" s="680"/>
      <c r="L60" s="680"/>
      <c r="M60" s="680"/>
      <c r="N60" s="680"/>
      <c r="O60" s="680"/>
      <c r="P60" s="680"/>
      <c r="Q60" s="680"/>
      <c r="R60" s="680"/>
      <c r="S60" s="680"/>
      <c r="T60" s="680"/>
      <c r="U60" s="680"/>
      <c r="V60" s="680"/>
      <c r="W60" s="680"/>
      <c r="X60" s="680"/>
      <c r="Y60" s="680"/>
      <c r="Z60" s="680"/>
      <c r="AA60" s="680"/>
      <c r="AB60" s="680"/>
      <c r="AC60" s="680"/>
      <c r="AD60" s="680"/>
      <c r="AE60" s="680"/>
      <c r="AF60" s="680"/>
      <c r="AG60" s="680"/>
      <c r="AH60" s="680"/>
      <c r="AI60" s="680"/>
      <c r="AJ60" s="680"/>
      <c r="AK60" s="680"/>
      <c r="AL60" s="680"/>
      <c r="AM60" s="680"/>
      <c r="AN60" s="680"/>
      <c r="AO60" s="680"/>
      <c r="AP60" s="680"/>
    </row>
    <row r="61" spans="1:42" s="728" customFormat="1" x14ac:dyDescent="0.25">
      <c r="A61" s="727"/>
      <c r="B61" s="731" t="s">
        <v>42</v>
      </c>
      <c r="C61" s="742">
        <f>C38+C15</f>
        <v>615814.5820238844</v>
      </c>
      <c r="D61" s="742">
        <f t="shared" ref="D61:F61" si="16">D38+D15</f>
        <v>191644.37460716531</v>
      </c>
      <c r="E61" s="742">
        <f t="shared" si="16"/>
        <v>81464.250601777865</v>
      </c>
      <c r="F61" s="742">
        <f t="shared" si="16"/>
        <v>39626.682227889018</v>
      </c>
      <c r="G61" s="743">
        <f t="shared" ref="G61:G68" si="17">(C61-D61)/(E61+F61)</f>
        <v>3.5029064315936851</v>
      </c>
      <c r="H61" s="734">
        <f>C61/C$68</f>
        <v>1.8358692260254605E-2</v>
      </c>
      <c r="I61" s="727"/>
      <c r="J61" s="680"/>
      <c r="K61" s="680"/>
      <c r="L61" s="680"/>
      <c r="M61" s="680"/>
      <c r="N61" s="680"/>
      <c r="O61" s="680"/>
      <c r="P61" s="680"/>
      <c r="Q61" s="680"/>
      <c r="R61" s="680"/>
      <c r="S61" s="680"/>
      <c r="T61" s="680"/>
      <c r="U61" s="680"/>
      <c r="V61" s="680"/>
      <c r="W61" s="680"/>
      <c r="X61" s="680"/>
      <c r="Y61" s="680"/>
      <c r="Z61" s="680"/>
      <c r="AA61" s="680"/>
      <c r="AB61" s="680"/>
      <c r="AC61" s="680"/>
      <c r="AD61" s="680"/>
      <c r="AE61" s="680"/>
      <c r="AF61" s="680"/>
      <c r="AG61" s="680"/>
      <c r="AH61" s="680"/>
      <c r="AI61" s="680"/>
      <c r="AJ61" s="680"/>
      <c r="AK61" s="680"/>
      <c r="AL61" s="680"/>
      <c r="AM61" s="680"/>
      <c r="AN61" s="680"/>
      <c r="AO61" s="680"/>
      <c r="AP61" s="680"/>
    </row>
    <row r="62" spans="1:42" s="728" customFormat="1" x14ac:dyDescent="0.25">
      <c r="A62" s="727"/>
      <c r="B62" s="731" t="s">
        <v>39</v>
      </c>
      <c r="C62" s="742">
        <f t="shared" ref="C62:F67" si="18">C39+C16</f>
        <v>711485</v>
      </c>
      <c r="D62" s="742">
        <f t="shared" si="18"/>
        <v>135500</v>
      </c>
      <c r="E62" s="742">
        <f t="shared" si="18"/>
        <v>87715.883700000006</v>
      </c>
      <c r="F62" s="742">
        <f t="shared" si="18"/>
        <v>31055.699999999997</v>
      </c>
      <c r="G62" s="743">
        <f t="shared" si="17"/>
        <v>4.8495185637572664</v>
      </c>
      <c r="H62" s="734">
        <f t="shared" ref="H62:H68" si="19">C62/C$68</f>
        <v>2.1210823101750844E-2</v>
      </c>
      <c r="I62" s="727"/>
      <c r="J62" s="680"/>
      <c r="K62" s="680"/>
      <c r="L62" s="680"/>
      <c r="M62" s="680"/>
      <c r="N62" s="680"/>
      <c r="O62" s="680"/>
      <c r="P62" s="680"/>
      <c r="Q62" s="680"/>
      <c r="R62" s="680"/>
      <c r="S62" s="680"/>
      <c r="T62" s="680"/>
      <c r="U62" s="680"/>
      <c r="V62" s="680"/>
      <c r="W62" s="680"/>
      <c r="X62" s="680"/>
      <c r="Y62" s="680"/>
      <c r="Z62" s="680"/>
      <c r="AA62" s="680"/>
      <c r="AB62" s="680"/>
      <c r="AC62" s="680"/>
      <c r="AD62" s="680"/>
      <c r="AE62" s="680"/>
      <c r="AF62" s="680"/>
      <c r="AG62" s="680"/>
      <c r="AH62" s="680"/>
      <c r="AI62" s="680"/>
      <c r="AJ62" s="680"/>
      <c r="AK62" s="680"/>
      <c r="AL62" s="680"/>
      <c r="AM62" s="680"/>
      <c r="AN62" s="680"/>
      <c r="AO62" s="680"/>
      <c r="AP62" s="680"/>
    </row>
    <row r="63" spans="1:42" s="728" customFormat="1" x14ac:dyDescent="0.25">
      <c r="A63" s="727"/>
      <c r="B63" s="731" t="s">
        <v>61</v>
      </c>
      <c r="C63" s="742">
        <f t="shared" si="18"/>
        <v>6259850</v>
      </c>
      <c r="D63" s="742">
        <f t="shared" si="18"/>
        <v>729000</v>
      </c>
      <c r="E63" s="742">
        <f t="shared" si="18"/>
        <v>800077.30050000013</v>
      </c>
      <c r="F63" s="742">
        <f t="shared" si="18"/>
        <v>133960.86600000001</v>
      </c>
      <c r="G63" s="743">
        <f t="shared" si="17"/>
        <v>5.921438971519799</v>
      </c>
      <c r="H63" s="734">
        <f t="shared" si="19"/>
        <v>0.18661893222414389</v>
      </c>
      <c r="I63" s="727"/>
      <c r="J63" s="680"/>
      <c r="K63" s="680"/>
      <c r="L63" s="680"/>
      <c r="M63" s="680"/>
      <c r="N63" s="680"/>
      <c r="O63" s="680"/>
      <c r="P63" s="680"/>
      <c r="Q63" s="680"/>
      <c r="R63" s="680"/>
      <c r="S63" s="680"/>
      <c r="T63" s="680"/>
      <c r="U63" s="680"/>
      <c r="V63" s="680"/>
      <c r="W63" s="680"/>
      <c r="X63" s="680"/>
      <c r="Y63" s="680"/>
      <c r="Z63" s="680"/>
      <c r="AA63" s="680"/>
      <c r="AB63" s="680"/>
      <c r="AC63" s="680"/>
      <c r="AD63" s="680"/>
      <c r="AE63" s="680"/>
      <c r="AF63" s="680"/>
      <c r="AG63" s="680"/>
      <c r="AH63" s="680"/>
      <c r="AI63" s="680"/>
      <c r="AJ63" s="680"/>
      <c r="AK63" s="680"/>
      <c r="AL63" s="680"/>
      <c r="AM63" s="680"/>
      <c r="AN63" s="680"/>
      <c r="AO63" s="680"/>
      <c r="AP63" s="680"/>
    </row>
    <row r="64" spans="1:42" s="728" customFormat="1" x14ac:dyDescent="0.25">
      <c r="A64" s="727"/>
      <c r="B64" s="731" t="s">
        <v>35</v>
      </c>
      <c r="C64" s="742">
        <f t="shared" si="18"/>
        <v>17884506.712063517</v>
      </c>
      <c r="D64" s="742">
        <f t="shared" si="18"/>
        <v>1902042.891206352</v>
      </c>
      <c r="E64" s="742">
        <f t="shared" si="18"/>
        <v>15854462.281432537</v>
      </c>
      <c r="F64" s="742">
        <f t="shared" si="18"/>
        <v>646684.35</v>
      </c>
      <c r="G64" s="743">
        <f t="shared" si="17"/>
        <v>0.96856686252412616</v>
      </c>
      <c r="H64" s="734">
        <f t="shared" si="19"/>
        <v>0.5331737255622464</v>
      </c>
      <c r="I64" s="727"/>
      <c r="J64" s="680"/>
      <c r="K64" s="680"/>
      <c r="L64" s="680"/>
      <c r="M64" s="680"/>
      <c r="N64" s="680"/>
      <c r="O64" s="680"/>
      <c r="P64" s="680"/>
      <c r="Q64" s="680"/>
      <c r="R64" s="680"/>
      <c r="S64" s="680"/>
      <c r="T64" s="680"/>
      <c r="U64" s="680"/>
      <c r="V64" s="680"/>
      <c r="W64" s="680"/>
      <c r="X64" s="680"/>
      <c r="Y64" s="680"/>
      <c r="Z64" s="680"/>
      <c r="AA64" s="680"/>
      <c r="AB64" s="680"/>
      <c r="AC64" s="680"/>
      <c r="AD64" s="680"/>
      <c r="AE64" s="680"/>
      <c r="AF64" s="680"/>
      <c r="AG64" s="680"/>
      <c r="AH64" s="680"/>
      <c r="AI64" s="680"/>
      <c r="AJ64" s="680"/>
      <c r="AK64" s="680"/>
      <c r="AL64" s="680"/>
      <c r="AM64" s="680"/>
      <c r="AN64" s="680"/>
      <c r="AO64" s="680"/>
      <c r="AP64" s="680"/>
    </row>
    <row r="65" spans="1:42" s="728" customFormat="1" x14ac:dyDescent="0.25">
      <c r="A65" s="727"/>
      <c r="B65" s="744" t="s">
        <v>41</v>
      </c>
      <c r="C65" s="742">
        <f t="shared" si="18"/>
        <v>1653655</v>
      </c>
      <c r="D65" s="742">
        <f t="shared" si="18"/>
        <v>140000</v>
      </c>
      <c r="E65" s="742">
        <f t="shared" si="18"/>
        <v>63534</v>
      </c>
      <c r="F65" s="742">
        <f t="shared" si="18"/>
        <v>54200.25</v>
      </c>
      <c r="G65" s="743">
        <f t="shared" si="17"/>
        <v>12.856539197387336</v>
      </c>
      <c r="H65" s="734">
        <f t="shared" si="19"/>
        <v>4.9298837890223671E-2</v>
      </c>
      <c r="I65" s="727"/>
      <c r="J65" s="680"/>
      <c r="K65" s="680"/>
      <c r="L65" s="680"/>
      <c r="M65" s="680"/>
      <c r="N65" s="680"/>
      <c r="O65" s="680"/>
      <c r="P65" s="680"/>
      <c r="Q65" s="680"/>
      <c r="R65" s="680"/>
      <c r="S65" s="680"/>
      <c r="T65" s="680"/>
      <c r="U65" s="680"/>
      <c r="V65" s="680"/>
      <c r="W65" s="680"/>
      <c r="X65" s="680"/>
      <c r="Y65" s="680"/>
      <c r="Z65" s="680"/>
      <c r="AA65" s="680"/>
      <c r="AB65" s="680"/>
      <c r="AC65" s="680"/>
      <c r="AD65" s="680"/>
      <c r="AE65" s="680"/>
      <c r="AF65" s="680"/>
      <c r="AG65" s="680"/>
      <c r="AH65" s="680"/>
      <c r="AI65" s="680"/>
      <c r="AJ65" s="680"/>
      <c r="AK65" s="680"/>
      <c r="AL65" s="680"/>
      <c r="AM65" s="680"/>
      <c r="AN65" s="680"/>
      <c r="AO65" s="680"/>
      <c r="AP65" s="680"/>
    </row>
    <row r="66" spans="1:42" s="728" customFormat="1" x14ac:dyDescent="0.25">
      <c r="A66" s="727"/>
      <c r="B66" s="729" t="s">
        <v>37</v>
      </c>
      <c r="C66" s="742">
        <f t="shared" si="18"/>
        <v>3233630.1687092441</v>
      </c>
      <c r="D66" s="742">
        <f t="shared" si="18"/>
        <v>0</v>
      </c>
      <c r="E66" s="742">
        <f t="shared" si="18"/>
        <v>154366.49829468527</v>
      </c>
      <c r="F66" s="742">
        <f t="shared" si="18"/>
        <v>0</v>
      </c>
      <c r="G66" s="743">
        <f t="shared" si="17"/>
        <v>20.947745815521785</v>
      </c>
      <c r="H66" s="734">
        <f t="shared" si="19"/>
        <v>9.6401129306979777E-2</v>
      </c>
      <c r="I66" s="727"/>
      <c r="J66" s="680"/>
      <c r="K66" s="680"/>
      <c r="L66" s="680"/>
      <c r="M66" s="680"/>
      <c r="N66" s="680"/>
      <c r="O66" s="680"/>
      <c r="P66" s="680"/>
      <c r="Q66" s="680"/>
      <c r="R66" s="680"/>
      <c r="S66" s="680"/>
      <c r="T66" s="680"/>
      <c r="U66" s="680"/>
      <c r="V66" s="680"/>
      <c r="W66" s="680"/>
      <c r="X66" s="680"/>
      <c r="Y66" s="680"/>
      <c r="Z66" s="680"/>
      <c r="AA66" s="680"/>
      <c r="AB66" s="680"/>
      <c r="AC66" s="680"/>
      <c r="AD66" s="680"/>
      <c r="AE66" s="680"/>
      <c r="AF66" s="680"/>
      <c r="AG66" s="680"/>
      <c r="AH66" s="680"/>
      <c r="AI66" s="680"/>
      <c r="AJ66" s="680"/>
      <c r="AK66" s="680"/>
      <c r="AL66" s="680"/>
      <c r="AM66" s="680"/>
      <c r="AN66" s="680"/>
      <c r="AO66" s="680"/>
      <c r="AP66" s="680"/>
    </row>
    <row r="67" spans="1:42" s="728" customFormat="1" x14ac:dyDescent="0.25">
      <c r="A67" s="727"/>
      <c r="B67" s="735" t="s">
        <v>40</v>
      </c>
      <c r="C67" s="742">
        <f t="shared" si="18"/>
        <v>3184547</v>
      </c>
      <c r="D67" s="742">
        <f t="shared" si="18"/>
        <v>1186510.3333333335</v>
      </c>
      <c r="E67" s="742">
        <f t="shared" si="18"/>
        <v>410426.94</v>
      </c>
      <c r="F67" s="742">
        <f t="shared" si="18"/>
        <v>18038.591999999997</v>
      </c>
      <c r="G67" s="743">
        <f t="shared" si="17"/>
        <v>4.6632378043110982</v>
      </c>
      <c r="H67" s="734">
        <f t="shared" si="19"/>
        <v>9.4937859654400783E-2</v>
      </c>
      <c r="I67" s="727"/>
      <c r="J67" s="680"/>
      <c r="K67" s="680"/>
      <c r="L67" s="680"/>
      <c r="M67" s="680"/>
      <c r="N67" s="680"/>
      <c r="O67" s="680"/>
      <c r="P67" s="680"/>
      <c r="Q67" s="680"/>
      <c r="R67" s="680"/>
      <c r="S67" s="680"/>
      <c r="T67" s="680"/>
      <c r="U67" s="680"/>
      <c r="V67" s="680"/>
      <c r="W67" s="680"/>
      <c r="X67" s="680"/>
      <c r="Y67" s="680"/>
      <c r="Z67" s="680"/>
      <c r="AA67" s="680"/>
      <c r="AB67" s="680"/>
      <c r="AC67" s="680"/>
      <c r="AD67" s="680"/>
      <c r="AE67" s="680"/>
      <c r="AF67" s="680"/>
      <c r="AG67" s="680"/>
      <c r="AH67" s="680"/>
      <c r="AI67" s="680"/>
      <c r="AJ67" s="680"/>
      <c r="AK67" s="680"/>
      <c r="AL67" s="680"/>
      <c r="AM67" s="680"/>
      <c r="AN67" s="680"/>
      <c r="AO67" s="680"/>
      <c r="AP67" s="680"/>
    </row>
    <row r="68" spans="1:42" s="728" customFormat="1" x14ac:dyDescent="0.25">
      <c r="A68" s="727"/>
      <c r="B68" s="737" t="s">
        <v>395</v>
      </c>
      <c r="C68" s="745">
        <f>SUM(C61:C67)</f>
        <v>33543488.462796647</v>
      </c>
      <c r="D68" s="745">
        <f t="shared" ref="D68:F68" si="20">SUM(D61:D67)</f>
        <v>4284697.5991468504</v>
      </c>
      <c r="E68" s="745">
        <f t="shared" si="20"/>
        <v>17452047.154529002</v>
      </c>
      <c r="F68" s="745">
        <f t="shared" si="20"/>
        <v>923566.44022788899</v>
      </c>
      <c r="G68" s="746">
        <f t="shared" si="17"/>
        <v>1.5922619787781238</v>
      </c>
      <c r="H68" s="734">
        <f t="shared" si="19"/>
        <v>1</v>
      </c>
      <c r="I68" s="727"/>
      <c r="J68" s="680"/>
      <c r="K68" s="680"/>
      <c r="L68" s="680"/>
      <c r="M68" s="680"/>
      <c r="N68" s="680"/>
      <c r="O68" s="680"/>
      <c r="P68" s="680"/>
      <c r="Q68" s="680"/>
      <c r="R68" s="680"/>
      <c r="S68" s="680"/>
      <c r="T68" s="680"/>
      <c r="U68" s="680"/>
      <c r="V68" s="680"/>
      <c r="W68" s="680"/>
      <c r="X68" s="680"/>
      <c r="Y68" s="680"/>
      <c r="Z68" s="680"/>
      <c r="AA68" s="680"/>
      <c r="AB68" s="680"/>
      <c r="AC68" s="680"/>
      <c r="AD68" s="680"/>
      <c r="AE68" s="680"/>
      <c r="AF68" s="680"/>
      <c r="AG68" s="680"/>
      <c r="AH68" s="680"/>
      <c r="AI68" s="680"/>
      <c r="AJ68" s="680"/>
      <c r="AK68" s="680"/>
      <c r="AL68" s="680"/>
      <c r="AM68" s="680"/>
      <c r="AN68" s="680"/>
      <c r="AO68" s="680"/>
      <c r="AP68" s="680"/>
    </row>
  </sheetData>
  <mergeCells count="3">
    <mergeCell ref="D1:F1"/>
    <mergeCell ref="D24:F24"/>
    <mergeCell ref="D47:F47"/>
  </mergeCells>
  <pageMargins left="0.7" right="0.7" top="0.75" bottom="0.75" header="0.3" footer="0.3"/>
  <pageSetup paperSize="9" orientation="portrait"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4"/>
  <sheetViews>
    <sheetView topLeftCell="B4" zoomScaleNormal="100" zoomScaleSheetLayoutView="220" workbookViewId="0">
      <selection activeCell="G4" sqref="G4:I4"/>
    </sheetView>
  </sheetViews>
  <sheetFormatPr baseColWidth="10" defaultRowHeight="15" x14ac:dyDescent="0.25"/>
  <cols>
    <col min="1" max="1" width="40.7109375" customWidth="1"/>
    <col min="2" max="2" width="16.7109375" customWidth="1"/>
    <col min="3" max="3" width="17.140625" customWidth="1"/>
    <col min="4" max="4" width="4.5703125" bestFit="1" customWidth="1"/>
    <col min="5" max="5" width="17.42578125" customWidth="1"/>
    <col min="6" max="6" width="1.140625" customWidth="1"/>
  </cols>
  <sheetData>
    <row r="1" spans="1:15" ht="21" x14ac:dyDescent="0.35">
      <c r="A1" s="11" t="s">
        <v>87</v>
      </c>
      <c r="B1" s="11"/>
      <c r="C1" s="11"/>
      <c r="D1" s="11"/>
      <c r="E1" s="11"/>
    </row>
    <row r="2" spans="1:15" ht="26.25" x14ac:dyDescent="0.4">
      <c r="A2" s="856" t="s">
        <v>913</v>
      </c>
      <c r="B2" s="856"/>
      <c r="C2" s="856"/>
      <c r="D2" s="856"/>
      <c r="E2" s="856"/>
    </row>
    <row r="3" spans="1:15" ht="27" thickBot="1" x14ac:dyDescent="0.45">
      <c r="A3" s="107"/>
      <c r="B3" s="107"/>
      <c r="C3" s="107"/>
      <c r="D3" s="107"/>
      <c r="E3" s="107"/>
    </row>
    <row r="4" spans="1:15" ht="15.75" thickBot="1" x14ac:dyDescent="0.3">
      <c r="A4" s="12"/>
      <c r="B4" s="233" t="s">
        <v>469</v>
      </c>
      <c r="C4" s="851" t="s">
        <v>37</v>
      </c>
      <c r="D4" s="852"/>
      <c r="E4" s="175" t="s">
        <v>144</v>
      </c>
      <c r="G4" s="848" t="s">
        <v>914</v>
      </c>
      <c r="H4" s="848"/>
      <c r="I4" s="848"/>
    </row>
    <row r="5" spans="1:15" ht="15.75" x14ac:dyDescent="0.25">
      <c r="A5" s="381" t="s">
        <v>651</v>
      </c>
      <c r="B5" s="382" t="s">
        <v>50</v>
      </c>
      <c r="C5" s="820" t="s">
        <v>18</v>
      </c>
      <c r="D5" s="820"/>
      <c r="E5" s="232" t="s">
        <v>20</v>
      </c>
      <c r="G5" s="848" t="s">
        <v>915</v>
      </c>
      <c r="H5" s="848"/>
      <c r="I5" s="848"/>
    </row>
    <row r="6" spans="1:15" ht="16.5" thickBot="1" x14ac:dyDescent="0.3">
      <c r="A6" s="379" t="s">
        <v>660</v>
      </c>
      <c r="B6" s="380" t="s">
        <v>658</v>
      </c>
      <c r="G6" s="850" t="s">
        <v>916</v>
      </c>
      <c r="H6" s="850"/>
      <c r="I6" s="850"/>
    </row>
    <row r="7" spans="1:15" ht="24" customHeight="1" thickBot="1" x14ac:dyDescent="0.3">
      <c r="A7" s="207" t="s">
        <v>1</v>
      </c>
      <c r="B7" s="820" t="s">
        <v>141</v>
      </c>
      <c r="C7" s="820"/>
      <c r="D7" s="820"/>
      <c r="E7" s="820"/>
      <c r="F7" s="37"/>
      <c r="G7" s="37"/>
      <c r="H7" s="37"/>
      <c r="I7" s="37"/>
      <c r="J7" s="37"/>
      <c r="K7" s="37"/>
      <c r="L7" s="37"/>
    </row>
    <row r="8" spans="1:15" ht="63" customHeight="1" thickBot="1" x14ac:dyDescent="0.3">
      <c r="A8" s="207" t="s">
        <v>0</v>
      </c>
      <c r="B8" s="952" t="s">
        <v>142</v>
      </c>
      <c r="C8" s="953"/>
      <c r="D8" s="953"/>
      <c r="E8" s="954"/>
      <c r="F8" s="37"/>
      <c r="G8" s="37"/>
      <c r="H8" s="37"/>
      <c r="I8" s="37"/>
      <c r="J8" s="37"/>
      <c r="K8" s="37"/>
      <c r="L8" s="37"/>
    </row>
    <row r="9" spans="1:15" ht="30" x14ac:dyDescent="0.25">
      <c r="A9" s="208" t="s">
        <v>2</v>
      </c>
      <c r="B9" s="890"/>
      <c r="C9" s="889"/>
      <c r="D9" s="889"/>
      <c r="E9" s="889"/>
      <c r="F9" s="37"/>
      <c r="G9" s="116" t="s">
        <v>296</v>
      </c>
      <c r="H9" s="117" t="s">
        <v>297</v>
      </c>
      <c r="I9" s="117" t="s">
        <v>139</v>
      </c>
      <c r="J9" s="117" t="s">
        <v>298</v>
      </c>
      <c r="K9" s="117" t="s">
        <v>175</v>
      </c>
      <c r="L9" s="117" t="s">
        <v>202</v>
      </c>
      <c r="M9" s="117" t="s">
        <v>299</v>
      </c>
      <c r="N9" s="117" t="s">
        <v>300</v>
      </c>
      <c r="O9" s="117" t="s">
        <v>301</v>
      </c>
    </row>
    <row r="10" spans="1:15" ht="15.75" x14ac:dyDescent="0.25">
      <c r="A10" s="208" t="s">
        <v>31</v>
      </c>
      <c r="B10" s="889"/>
      <c r="C10" s="889"/>
      <c r="D10" s="889"/>
      <c r="E10" s="889"/>
      <c r="F10" s="37"/>
      <c r="G10" s="118">
        <v>6</v>
      </c>
      <c r="H10" s="119">
        <v>15490</v>
      </c>
      <c r="I10" s="119">
        <v>6</v>
      </c>
      <c r="J10" s="119">
        <v>1.6</v>
      </c>
      <c r="K10" s="119">
        <v>0.24</v>
      </c>
      <c r="L10" s="119">
        <v>0.26100000000000001</v>
      </c>
      <c r="M10" s="138">
        <v>0.38</v>
      </c>
      <c r="N10" s="138">
        <v>0.98</v>
      </c>
      <c r="O10" s="139">
        <v>0.11700000000000001</v>
      </c>
    </row>
    <row r="11" spans="1:15" ht="30" customHeight="1" x14ac:dyDescent="0.25">
      <c r="A11" s="209" t="s">
        <v>16</v>
      </c>
      <c r="B11" s="874" t="s">
        <v>86</v>
      </c>
      <c r="C11" s="874"/>
      <c r="D11" s="874"/>
      <c r="E11" s="874"/>
      <c r="F11" s="37"/>
      <c r="G11" s="136"/>
      <c r="H11" s="136"/>
      <c r="I11" s="119">
        <v>100</v>
      </c>
      <c r="J11" s="136"/>
      <c r="K11" s="136"/>
      <c r="L11" s="136"/>
      <c r="M11" s="136"/>
      <c r="N11" s="136"/>
      <c r="O11" s="136"/>
    </row>
    <row r="12" spans="1:15" ht="30" customHeight="1" x14ac:dyDescent="0.25">
      <c r="A12" s="209" t="s">
        <v>3</v>
      </c>
      <c r="B12" s="874"/>
      <c r="C12" s="874"/>
      <c r="D12" s="874"/>
      <c r="E12" s="874"/>
      <c r="F12" s="37"/>
      <c r="G12" s="136"/>
      <c r="H12" s="136"/>
      <c r="I12" s="136"/>
      <c r="J12" s="136"/>
      <c r="K12" s="136"/>
      <c r="L12" s="136"/>
      <c r="M12" s="136"/>
      <c r="N12" s="136"/>
      <c r="O12" s="136"/>
    </row>
    <row r="13" spans="1:15" ht="30" customHeight="1" x14ac:dyDescent="0.25">
      <c r="A13" s="209" t="s">
        <v>17</v>
      </c>
      <c r="B13" s="874"/>
      <c r="C13" s="874"/>
      <c r="D13" s="874"/>
      <c r="E13" s="874"/>
      <c r="F13" s="37"/>
      <c r="G13" s="395"/>
      <c r="H13" s="955" t="s">
        <v>777</v>
      </c>
      <c r="I13" s="955"/>
      <c r="J13" s="955" t="s">
        <v>778</v>
      </c>
      <c r="K13" s="955"/>
      <c r="L13" s="136"/>
      <c r="M13" s="136"/>
      <c r="N13" s="136"/>
      <c r="O13" s="136"/>
    </row>
    <row r="14" spans="1:15" ht="30" customHeight="1" x14ac:dyDescent="0.25">
      <c r="A14" s="209" t="s">
        <v>4</v>
      </c>
      <c r="B14" s="874">
        <v>2019</v>
      </c>
      <c r="C14" s="874"/>
      <c r="D14" s="874"/>
      <c r="E14" s="874"/>
      <c r="F14" s="37"/>
      <c r="G14" s="395"/>
      <c r="H14" s="955"/>
      <c r="I14" s="955"/>
      <c r="J14" s="955"/>
      <c r="K14" s="955"/>
      <c r="L14" s="44"/>
      <c r="M14" s="136"/>
      <c r="N14" s="136"/>
      <c r="O14" s="136"/>
    </row>
    <row r="15" spans="1:15" ht="30" customHeight="1" x14ac:dyDescent="0.25">
      <c r="A15" s="209" t="s">
        <v>5</v>
      </c>
      <c r="B15" s="874">
        <v>2020</v>
      </c>
      <c r="C15" s="874"/>
      <c r="D15" s="874"/>
      <c r="E15" s="874"/>
      <c r="F15" s="37"/>
      <c r="G15" s="395"/>
      <c r="H15" s="955">
        <v>30000</v>
      </c>
      <c r="I15" s="955"/>
      <c r="J15" s="955">
        <v>20000</v>
      </c>
      <c r="K15" s="955"/>
      <c r="L15" s="44"/>
      <c r="M15" s="136"/>
      <c r="N15" s="136"/>
      <c r="O15" s="136"/>
    </row>
    <row r="16" spans="1:15" ht="30" customHeight="1" x14ac:dyDescent="0.25">
      <c r="A16" s="209" t="s">
        <v>6</v>
      </c>
      <c r="B16" s="845">
        <f>G10*H15</f>
        <v>180000</v>
      </c>
      <c r="C16" s="845"/>
      <c r="D16" s="845"/>
      <c r="E16" s="845"/>
      <c r="F16" s="37"/>
      <c r="G16" s="395"/>
      <c r="H16" s="955"/>
      <c r="I16" s="955"/>
      <c r="J16" s="955"/>
      <c r="K16" s="955"/>
      <c r="L16" s="44"/>
      <c r="M16" s="136"/>
      <c r="N16" s="136"/>
      <c r="O16" s="136"/>
    </row>
    <row r="17" spans="1:15" ht="30" customHeight="1" x14ac:dyDescent="0.25">
      <c r="A17" s="209" t="s">
        <v>7</v>
      </c>
      <c r="B17" s="845">
        <v>0</v>
      </c>
      <c r="C17" s="845"/>
      <c r="D17" s="845"/>
      <c r="E17" s="845"/>
      <c r="F17" s="37"/>
      <c r="G17" s="395"/>
      <c r="H17" s="37"/>
      <c r="I17" s="37"/>
      <c r="J17" s="395" t="s">
        <v>779</v>
      </c>
      <c r="K17" s="44"/>
      <c r="L17" s="44"/>
      <c r="M17" s="136"/>
      <c r="N17" s="136"/>
      <c r="O17" s="136"/>
    </row>
    <row r="18" spans="1:15" ht="30" customHeight="1" x14ac:dyDescent="0.25">
      <c r="A18" s="210" t="s">
        <v>468</v>
      </c>
      <c r="B18" s="868">
        <f>(I21-I24)</f>
        <v>34141.224489795917</v>
      </c>
      <c r="C18" s="869"/>
      <c r="D18" s="869"/>
      <c r="E18" s="869"/>
      <c r="F18" s="37"/>
      <c r="G18" s="951" t="s">
        <v>302</v>
      </c>
      <c r="H18" s="951"/>
      <c r="I18" s="142">
        <f>B18/10*J10+J18</f>
        <v>10262.595918367348</v>
      </c>
      <c r="J18" s="397">
        <f>G10*800</f>
        <v>4800</v>
      </c>
      <c r="K18" s="395"/>
      <c r="L18" s="136"/>
      <c r="M18" s="136"/>
      <c r="N18" s="136"/>
      <c r="O18" s="136"/>
    </row>
    <row r="19" spans="1:15" ht="30" customHeight="1" x14ac:dyDescent="0.25">
      <c r="A19" s="238" t="s">
        <v>467</v>
      </c>
      <c r="B19" s="870"/>
      <c r="C19" s="871"/>
      <c r="D19" s="871"/>
      <c r="E19" s="871"/>
      <c r="F19" s="37"/>
      <c r="G19" s="951" t="s">
        <v>303</v>
      </c>
      <c r="H19" s="951"/>
      <c r="I19" s="142">
        <f>B18*K10*M10/N10+J19</f>
        <v>3777.2241566014159</v>
      </c>
      <c r="J19" s="397">
        <f>G10*100</f>
        <v>600</v>
      </c>
      <c r="K19" s="395"/>
      <c r="L19" s="136"/>
      <c r="M19" s="136"/>
      <c r="N19" s="136"/>
      <c r="O19" s="136"/>
    </row>
    <row r="20" spans="1:15" ht="30" customHeight="1" x14ac:dyDescent="0.25">
      <c r="A20" s="209" t="s">
        <v>8</v>
      </c>
      <c r="B20" s="859">
        <f>I18-I19</f>
        <v>6485.3717617659313</v>
      </c>
      <c r="C20" s="859"/>
      <c r="D20" s="859"/>
      <c r="E20" s="859"/>
      <c r="F20" s="37"/>
      <c r="G20" s="395"/>
      <c r="H20" s="395"/>
      <c r="I20" s="395"/>
      <c r="J20" s="395"/>
      <c r="K20" s="395"/>
      <c r="L20" s="136"/>
      <c r="M20" s="136"/>
      <c r="N20" s="136"/>
      <c r="O20" s="136"/>
    </row>
    <row r="21" spans="1:15" ht="30" customHeight="1" x14ac:dyDescent="0.25">
      <c r="A21" s="209" t="s">
        <v>9</v>
      </c>
      <c r="B21" s="859"/>
      <c r="C21" s="859"/>
      <c r="D21" s="859"/>
      <c r="E21" s="859"/>
      <c r="F21" s="37"/>
      <c r="G21" s="950" t="s">
        <v>304</v>
      </c>
      <c r="H21" s="950"/>
      <c r="I21" s="396">
        <f>H10*I10/I11*10*G10</f>
        <v>55764</v>
      </c>
      <c r="J21" s="143" t="s">
        <v>155</v>
      </c>
      <c r="K21" s="395"/>
      <c r="L21" s="136"/>
      <c r="M21" s="136"/>
      <c r="N21" s="136"/>
      <c r="O21" s="136"/>
    </row>
    <row r="22" spans="1:15" ht="30" customHeight="1" x14ac:dyDescent="0.25">
      <c r="A22" s="209" t="s">
        <v>465</v>
      </c>
      <c r="B22" s="846">
        <f>(B16-J15*G10)/(B20+B21)</f>
        <v>9.2515899171310316</v>
      </c>
      <c r="C22" s="846"/>
      <c r="D22" s="846"/>
      <c r="E22" s="846"/>
      <c r="F22" s="37"/>
      <c r="G22" s="950" t="s">
        <v>305</v>
      </c>
      <c r="H22" s="950"/>
      <c r="I22" s="144">
        <f>I21*M10</f>
        <v>21190.32</v>
      </c>
      <c r="J22" s="143" t="s">
        <v>155</v>
      </c>
      <c r="K22" s="395"/>
      <c r="L22" s="136"/>
      <c r="M22" s="136"/>
      <c r="N22" s="136"/>
      <c r="O22" s="136"/>
    </row>
    <row r="23" spans="1:15" ht="30" customHeight="1" x14ac:dyDescent="0.25">
      <c r="A23" s="209" t="s">
        <v>466</v>
      </c>
      <c r="B23" s="956">
        <f>(B16-(J15*G10)-B17)/(B20+B21)</f>
        <v>9.2515899171310316</v>
      </c>
      <c r="C23" s="956"/>
      <c r="D23" s="956"/>
      <c r="E23" s="956"/>
      <c r="F23" s="37"/>
      <c r="G23" s="950" t="s">
        <v>306</v>
      </c>
      <c r="H23" s="950"/>
      <c r="I23" s="144">
        <f>I22</f>
        <v>21190.32</v>
      </c>
      <c r="J23" s="143" t="s">
        <v>155</v>
      </c>
      <c r="K23" s="395"/>
      <c r="L23" s="136"/>
      <c r="M23" s="136"/>
      <c r="N23" s="136"/>
      <c r="O23" s="136"/>
    </row>
    <row r="24" spans="1:15" ht="30" customHeight="1" x14ac:dyDescent="0.25">
      <c r="A24" s="211" t="s">
        <v>476</v>
      </c>
      <c r="B24" s="957">
        <f>((I21/1000*L10)-(I24/1000*O10))</f>
        <v>12.024539265306124</v>
      </c>
      <c r="C24" s="957"/>
      <c r="D24" s="957"/>
      <c r="E24" s="957"/>
      <c r="F24" s="37"/>
      <c r="G24" s="950" t="s">
        <v>268</v>
      </c>
      <c r="H24" s="950"/>
      <c r="I24" s="144">
        <f>I23/N10</f>
        <v>21622.775510204083</v>
      </c>
      <c r="J24" s="143" t="s">
        <v>155</v>
      </c>
      <c r="K24" s="395"/>
      <c r="L24" s="136"/>
      <c r="M24" s="136"/>
      <c r="N24" s="136"/>
      <c r="O24" s="136"/>
    </row>
    <row r="25" spans="1:15" ht="30" customHeight="1" x14ac:dyDescent="0.25">
      <c r="A25" s="212" t="s">
        <v>463</v>
      </c>
      <c r="B25" s="881">
        <f>B24/'Objectifs CO2'!C14</f>
        <v>5.808135902301962E-2</v>
      </c>
      <c r="C25" s="881"/>
      <c r="D25" s="881"/>
      <c r="E25" s="881"/>
      <c r="F25" s="37"/>
      <c r="G25" s="37"/>
      <c r="H25" s="37"/>
      <c r="I25" s="37"/>
      <c r="J25" s="37"/>
      <c r="K25" s="37"/>
      <c r="L25" s="37"/>
    </row>
    <row r="26" spans="1:15" ht="30" customHeight="1" x14ac:dyDescent="0.25">
      <c r="A26" s="213" t="s">
        <v>464</v>
      </c>
      <c r="B26" s="881">
        <f>B24/'Objectifs CO2'!C8</f>
        <v>1.7424407706905887E-3</v>
      </c>
      <c r="C26" s="881"/>
      <c r="D26" s="881"/>
      <c r="E26" s="881"/>
      <c r="F26" s="37"/>
      <c r="G26" s="37"/>
      <c r="H26" s="37"/>
      <c r="I26" s="37"/>
      <c r="J26" s="37"/>
      <c r="K26" s="37"/>
      <c r="L26" s="37"/>
    </row>
    <row r="27" spans="1:15" ht="30" customHeight="1" x14ac:dyDescent="0.25">
      <c r="A27" s="213" t="s">
        <v>24</v>
      </c>
      <c r="B27" s="874"/>
      <c r="C27" s="874"/>
      <c r="D27" s="874"/>
      <c r="E27" s="874"/>
      <c r="F27" s="37"/>
      <c r="G27" s="37"/>
      <c r="H27" s="37"/>
      <c r="I27" s="37"/>
      <c r="J27" s="37"/>
      <c r="K27" s="37"/>
      <c r="L27" s="37"/>
    </row>
    <row r="28" spans="1:15" ht="30" customHeight="1" x14ac:dyDescent="0.25">
      <c r="A28" s="213" t="s">
        <v>418</v>
      </c>
      <c r="B28" s="853"/>
      <c r="C28" s="853"/>
      <c r="D28" s="853"/>
      <c r="E28" s="853"/>
    </row>
    <row r="30" spans="1:15" x14ac:dyDescent="0.25">
      <c r="B30" s="867" t="s">
        <v>530</v>
      </c>
      <c r="C30" s="867"/>
      <c r="D30" s="867"/>
      <c r="E30" s="143" t="s">
        <v>538</v>
      </c>
      <c r="F30" s="37"/>
      <c r="G30" s="37"/>
      <c r="H30" s="37"/>
      <c r="I30" s="37"/>
    </row>
    <row r="31" spans="1:15" x14ac:dyDescent="0.25">
      <c r="B31" s="864" t="s">
        <v>521</v>
      </c>
      <c r="C31" s="864"/>
      <c r="D31" s="864"/>
      <c r="E31" s="114"/>
      <c r="F31" s="37"/>
      <c r="G31" s="866" t="s">
        <v>538</v>
      </c>
      <c r="H31" s="866"/>
      <c r="I31" s="866"/>
    </row>
    <row r="32" spans="1:15" x14ac:dyDescent="0.25">
      <c r="B32" s="864" t="s">
        <v>522</v>
      </c>
      <c r="C32" s="864"/>
      <c r="D32" s="864"/>
      <c r="E32" s="114"/>
      <c r="F32" s="37"/>
      <c r="G32" s="252">
        <v>3</v>
      </c>
      <c r="H32" s="866" t="s">
        <v>535</v>
      </c>
      <c r="I32" s="866"/>
    </row>
    <row r="33" spans="2:9" x14ac:dyDescent="0.25">
      <c r="B33" s="864" t="s">
        <v>524</v>
      </c>
      <c r="C33" s="864"/>
      <c r="D33" s="864"/>
      <c r="E33" s="114"/>
      <c r="F33" s="37"/>
      <c r="G33" s="252">
        <v>2</v>
      </c>
      <c r="H33" s="866" t="s">
        <v>536</v>
      </c>
      <c r="I33" s="866"/>
    </row>
    <row r="34" spans="2:9" x14ac:dyDescent="0.25">
      <c r="B34" s="864" t="s">
        <v>523</v>
      </c>
      <c r="C34" s="864"/>
      <c r="D34" s="864"/>
      <c r="E34" s="114"/>
      <c r="F34" s="37"/>
      <c r="G34" s="252">
        <v>1</v>
      </c>
      <c r="H34" s="866" t="s">
        <v>537</v>
      </c>
      <c r="I34" s="866"/>
    </row>
    <row r="35" spans="2:9" x14ac:dyDescent="0.25">
      <c r="B35" s="864" t="s">
        <v>525</v>
      </c>
      <c r="C35" s="864"/>
      <c r="D35" s="864"/>
      <c r="E35" s="114"/>
      <c r="F35" s="37"/>
      <c r="G35" s="37"/>
      <c r="H35" s="37"/>
      <c r="I35" s="37"/>
    </row>
    <row r="36" spans="2:9" x14ac:dyDescent="0.25">
      <c r="B36" s="864" t="s">
        <v>526</v>
      </c>
      <c r="C36" s="864"/>
      <c r="D36" s="864"/>
      <c r="E36" s="114"/>
      <c r="F36" s="37"/>
      <c r="G36" s="37"/>
      <c r="H36" s="37"/>
      <c r="I36" s="37"/>
    </row>
    <row r="37" spans="2:9" x14ac:dyDescent="0.25">
      <c r="B37" s="864" t="s">
        <v>527</v>
      </c>
      <c r="C37" s="864"/>
      <c r="D37" s="864"/>
      <c r="E37" s="114"/>
      <c r="F37" s="37"/>
      <c r="G37" s="37"/>
      <c r="H37" s="37"/>
      <c r="I37" s="37"/>
    </row>
    <row r="38" spans="2:9" x14ac:dyDescent="0.25">
      <c r="B38" s="864" t="s">
        <v>528</v>
      </c>
      <c r="C38" s="864"/>
      <c r="D38" s="864"/>
      <c r="E38" s="114"/>
      <c r="F38" s="37"/>
      <c r="G38" s="37"/>
      <c r="H38" s="37"/>
      <c r="I38" s="37"/>
    </row>
    <row r="39" spans="2:9" x14ac:dyDescent="0.25">
      <c r="B39" s="864" t="s">
        <v>529</v>
      </c>
      <c r="C39" s="864"/>
      <c r="D39" s="864"/>
      <c r="E39" s="114"/>
      <c r="F39" s="37"/>
      <c r="G39" s="863" t="s">
        <v>541</v>
      </c>
      <c r="H39" s="863"/>
      <c r="I39" s="863"/>
    </row>
    <row r="40" spans="2:9" x14ac:dyDescent="0.25">
      <c r="B40" s="865" t="s">
        <v>395</v>
      </c>
      <c r="C40" s="865"/>
      <c r="D40" s="865"/>
      <c r="E40" s="258">
        <f>SUM(E31:E39)</f>
        <v>0</v>
      </c>
      <c r="F40" s="37"/>
      <c r="G40" s="254" t="s">
        <v>542</v>
      </c>
      <c r="H40" s="257" t="s">
        <v>543</v>
      </c>
      <c r="I40" s="254" t="s">
        <v>544</v>
      </c>
    </row>
    <row r="41" spans="2:9" x14ac:dyDescent="0.25">
      <c r="B41" s="37"/>
      <c r="C41" s="37"/>
      <c r="D41" s="37"/>
      <c r="E41" s="202" t="s">
        <v>576</v>
      </c>
      <c r="F41" s="37"/>
      <c r="G41" s="254" t="s">
        <v>545</v>
      </c>
      <c r="H41" s="254" t="s">
        <v>547</v>
      </c>
      <c r="I41" s="254" t="s">
        <v>546</v>
      </c>
    </row>
    <row r="42" spans="2:9" x14ac:dyDescent="0.25">
      <c r="B42" s="37"/>
      <c r="C42" s="37"/>
      <c r="D42" s="37"/>
      <c r="E42" s="37"/>
      <c r="F42" s="37"/>
      <c r="G42" s="37"/>
      <c r="H42" s="37"/>
      <c r="I42" s="37"/>
    </row>
    <row r="43" spans="2:9" x14ac:dyDescent="0.25">
      <c r="B43" s="860" t="s">
        <v>520</v>
      </c>
      <c r="C43" s="861"/>
      <c r="D43" s="862"/>
      <c r="E43" s="251">
        <v>1</v>
      </c>
      <c r="F43" s="37"/>
      <c r="G43" s="254">
        <v>1</v>
      </c>
      <c r="H43" s="254" t="s">
        <v>539</v>
      </c>
      <c r="I43" s="37"/>
    </row>
    <row r="44" spans="2:9" x14ac:dyDescent="0.25">
      <c r="B44" s="37"/>
      <c r="C44" s="37"/>
      <c r="D44" s="37"/>
      <c r="E44" s="37"/>
      <c r="F44" s="37"/>
      <c r="G44" s="254">
        <v>0</v>
      </c>
      <c r="H44" s="254" t="s">
        <v>540</v>
      </c>
      <c r="I44" s="37"/>
    </row>
  </sheetData>
  <mergeCells count="55">
    <mergeCell ref="B27:E27"/>
    <mergeCell ref="B21:E21"/>
    <mergeCell ref="B22:E22"/>
    <mergeCell ref="B23:E23"/>
    <mergeCell ref="B24:E24"/>
    <mergeCell ref="B25:E25"/>
    <mergeCell ref="B26:E26"/>
    <mergeCell ref="H13:I14"/>
    <mergeCell ref="J13:K14"/>
    <mergeCell ref="H15:I16"/>
    <mergeCell ref="J15:K16"/>
    <mergeCell ref="G6:I6"/>
    <mergeCell ref="B10:E10"/>
    <mergeCell ref="B11:E11"/>
    <mergeCell ref="B12:E12"/>
    <mergeCell ref="B13:E13"/>
    <mergeCell ref="B14:E14"/>
    <mergeCell ref="A2:E2"/>
    <mergeCell ref="C5:D5"/>
    <mergeCell ref="B7:E7"/>
    <mergeCell ref="B8:E8"/>
    <mergeCell ref="B9:E9"/>
    <mergeCell ref="C4:D4"/>
    <mergeCell ref="G31:I31"/>
    <mergeCell ref="B32:D32"/>
    <mergeCell ref="H32:I32"/>
    <mergeCell ref="B15:E15"/>
    <mergeCell ref="B16:E16"/>
    <mergeCell ref="B17:E17"/>
    <mergeCell ref="B19:E19"/>
    <mergeCell ref="B20:E20"/>
    <mergeCell ref="B28:E28"/>
    <mergeCell ref="G24:H24"/>
    <mergeCell ref="G18:H18"/>
    <mergeCell ref="G19:H19"/>
    <mergeCell ref="G21:H21"/>
    <mergeCell ref="G22:H22"/>
    <mergeCell ref="G23:H23"/>
    <mergeCell ref="B18:E18"/>
    <mergeCell ref="B43:D43"/>
    <mergeCell ref="G4:I4"/>
    <mergeCell ref="G5:I5"/>
    <mergeCell ref="G39:I39"/>
    <mergeCell ref="B36:D36"/>
    <mergeCell ref="B37:D37"/>
    <mergeCell ref="B38:D38"/>
    <mergeCell ref="B39:D39"/>
    <mergeCell ref="B40:D40"/>
    <mergeCell ref="B33:D33"/>
    <mergeCell ref="H33:I33"/>
    <mergeCell ref="B34:D34"/>
    <mergeCell ref="H34:I34"/>
    <mergeCell ref="B35:D35"/>
    <mergeCell ref="B30:D30"/>
    <mergeCell ref="B31:D31"/>
  </mergeCells>
  <conditionalFormatting sqref="E5">
    <cfRule type="containsText" dxfId="74" priority="1" operator="containsText" text="Terminé">
      <formula>NOT(ISERROR(SEARCH("Terminé",E5)))</formula>
    </cfRule>
    <cfRule type="containsText" dxfId="73" priority="2" operator="containsText" text="En cours">
      <formula>NOT(ISERROR(SEARCH("En cours",E5)))</formula>
    </cfRule>
    <cfRule type="containsText" dxfId="72"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pageSetup paperSize="9" scale="9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4"/>
  <sheetViews>
    <sheetView topLeftCell="B19" zoomScaleNormal="100" zoomScaleSheetLayoutView="220"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5" ht="21" x14ac:dyDescent="0.35">
      <c r="A1" s="11" t="s">
        <v>87</v>
      </c>
      <c r="B1" s="11"/>
      <c r="C1" s="11"/>
      <c r="D1" s="11"/>
      <c r="E1" s="11"/>
    </row>
    <row r="2" spans="1:15" ht="26.25" x14ac:dyDescent="0.4">
      <c r="A2" s="856" t="s">
        <v>913</v>
      </c>
      <c r="B2" s="856"/>
      <c r="C2" s="856"/>
      <c r="D2" s="856"/>
      <c r="E2" s="856"/>
    </row>
    <row r="3" spans="1:15" ht="27" thickBot="1" x14ac:dyDescent="0.45">
      <c r="A3" s="107"/>
      <c r="B3" s="107"/>
      <c r="C3" s="107"/>
      <c r="D3" s="107"/>
      <c r="E3" s="107"/>
    </row>
    <row r="4" spans="1:15" ht="15.75" thickBot="1" x14ac:dyDescent="0.3">
      <c r="A4" s="12"/>
      <c r="B4" s="233" t="s">
        <v>469</v>
      </c>
      <c r="C4" s="851" t="s">
        <v>37</v>
      </c>
      <c r="D4" s="852"/>
      <c r="E4" s="175" t="s">
        <v>146</v>
      </c>
      <c r="G4" s="848" t="s">
        <v>914</v>
      </c>
      <c r="H4" s="848"/>
      <c r="I4" s="848"/>
    </row>
    <row r="5" spans="1:15" ht="15.75" x14ac:dyDescent="0.25">
      <c r="A5" s="381" t="s">
        <v>651</v>
      </c>
      <c r="B5" s="382" t="s">
        <v>652</v>
      </c>
      <c r="C5" s="820" t="s">
        <v>18</v>
      </c>
      <c r="D5" s="820"/>
      <c r="E5" s="232" t="s">
        <v>20</v>
      </c>
      <c r="G5" s="848" t="s">
        <v>915</v>
      </c>
      <c r="H5" s="848"/>
      <c r="I5" s="848"/>
    </row>
    <row r="6" spans="1:15" ht="16.5" thickBot="1" x14ac:dyDescent="0.3">
      <c r="A6" s="379" t="s">
        <v>660</v>
      </c>
      <c r="B6" s="380" t="s">
        <v>658</v>
      </c>
      <c r="G6" s="850" t="s">
        <v>916</v>
      </c>
      <c r="H6" s="850"/>
      <c r="I6" s="850"/>
    </row>
    <row r="7" spans="1:15" ht="24" customHeight="1" thickBot="1" x14ac:dyDescent="0.3">
      <c r="A7" s="207" t="s">
        <v>1</v>
      </c>
      <c r="B7" s="820" t="s">
        <v>145</v>
      </c>
      <c r="C7" s="820"/>
      <c r="D7" s="820"/>
      <c r="E7" s="820"/>
    </row>
    <row r="8" spans="1:15" s="370" customFormat="1" ht="53.25" customHeight="1" thickBot="1" x14ac:dyDescent="0.3">
      <c r="A8" s="219" t="s">
        <v>0</v>
      </c>
      <c r="B8" s="936" t="s">
        <v>731</v>
      </c>
      <c r="C8" s="936"/>
      <c r="D8" s="936"/>
      <c r="E8" s="936"/>
    </row>
    <row r="9" spans="1:15" ht="30" x14ac:dyDescent="0.25">
      <c r="A9" s="208" t="s">
        <v>2</v>
      </c>
      <c r="B9" s="890"/>
      <c r="C9" s="889"/>
      <c r="D9" s="889"/>
      <c r="E9" s="889"/>
      <c r="G9" s="116" t="s">
        <v>296</v>
      </c>
      <c r="H9" s="117" t="s">
        <v>297</v>
      </c>
      <c r="I9" s="117" t="s">
        <v>139</v>
      </c>
      <c r="J9" s="117" t="s">
        <v>298</v>
      </c>
      <c r="K9" s="117" t="s">
        <v>175</v>
      </c>
      <c r="L9" s="117" t="s">
        <v>202</v>
      </c>
      <c r="M9" s="117" t="s">
        <v>299</v>
      </c>
      <c r="N9" s="117" t="s">
        <v>300</v>
      </c>
      <c r="O9" s="117" t="s">
        <v>301</v>
      </c>
    </row>
    <row r="10" spans="1:15" ht="27" customHeight="1" x14ac:dyDescent="0.25">
      <c r="A10" s="208" t="s">
        <v>31</v>
      </c>
      <c r="B10" s="889"/>
      <c r="C10" s="889"/>
      <c r="D10" s="889"/>
      <c r="E10" s="889"/>
      <c r="G10" s="118">
        <v>60</v>
      </c>
      <c r="H10" s="119">
        <v>15490</v>
      </c>
      <c r="I10" s="119">
        <v>6</v>
      </c>
      <c r="J10" s="119">
        <v>1.6</v>
      </c>
      <c r="K10" s="119">
        <v>0.24</v>
      </c>
      <c r="L10" s="119">
        <v>0.26100000000000001</v>
      </c>
      <c r="M10" s="119">
        <v>0.38</v>
      </c>
      <c r="N10" s="119">
        <v>0.98</v>
      </c>
      <c r="O10" s="139">
        <v>0.11700000000000001</v>
      </c>
    </row>
    <row r="11" spans="1:15" ht="30" customHeight="1" x14ac:dyDescent="0.25">
      <c r="A11" s="209" t="s">
        <v>16</v>
      </c>
      <c r="B11" s="874" t="s">
        <v>512</v>
      </c>
      <c r="C11" s="874"/>
      <c r="D11" s="874"/>
      <c r="E11" s="874"/>
      <c r="G11" s="136"/>
      <c r="H11" s="136"/>
      <c r="I11" s="119">
        <v>100</v>
      </c>
      <c r="J11" s="136"/>
      <c r="K11" s="136"/>
      <c r="L11" s="136"/>
      <c r="M11" s="136"/>
      <c r="N11" s="136"/>
      <c r="O11" s="136"/>
    </row>
    <row r="12" spans="1:15" ht="30" customHeight="1" x14ac:dyDescent="0.25">
      <c r="A12" s="209" t="s">
        <v>3</v>
      </c>
      <c r="B12" s="874"/>
      <c r="C12" s="874"/>
      <c r="D12" s="874"/>
      <c r="E12" s="874"/>
    </row>
    <row r="13" spans="1:15" ht="30" customHeight="1" x14ac:dyDescent="0.25">
      <c r="A13" s="209" t="s">
        <v>17</v>
      </c>
      <c r="B13" s="874"/>
      <c r="C13" s="874"/>
      <c r="D13" s="874"/>
      <c r="E13" s="874"/>
      <c r="H13" s="955" t="s">
        <v>777</v>
      </c>
      <c r="I13" s="955"/>
      <c r="J13" s="955" t="s">
        <v>780</v>
      </c>
      <c r="K13" s="955"/>
    </row>
    <row r="14" spans="1:15" ht="30" customHeight="1" x14ac:dyDescent="0.25">
      <c r="A14" s="209" t="s">
        <v>4</v>
      </c>
      <c r="B14" s="874">
        <v>2019</v>
      </c>
      <c r="C14" s="874"/>
      <c r="D14" s="874"/>
      <c r="E14" s="874"/>
      <c r="G14" s="395"/>
      <c r="H14" s="955"/>
      <c r="I14" s="955"/>
      <c r="J14" s="955"/>
      <c r="K14" s="955"/>
      <c r="L14" s="322"/>
    </row>
    <row r="15" spans="1:15" ht="30" customHeight="1" x14ac:dyDescent="0.25">
      <c r="A15" s="209" t="s">
        <v>5</v>
      </c>
      <c r="B15" s="874">
        <v>2020</v>
      </c>
      <c r="C15" s="874"/>
      <c r="D15" s="874"/>
      <c r="E15" s="874"/>
      <c r="G15" s="395"/>
      <c r="H15" s="955">
        <v>25000</v>
      </c>
      <c r="I15" s="955"/>
      <c r="J15" s="955">
        <v>20000</v>
      </c>
      <c r="K15" s="955"/>
      <c r="L15" s="322"/>
    </row>
    <row r="16" spans="1:15" ht="30" customHeight="1" x14ac:dyDescent="0.25">
      <c r="A16" s="209" t="s">
        <v>6</v>
      </c>
      <c r="B16" s="845">
        <f>G10*H15</f>
        <v>1500000</v>
      </c>
      <c r="C16" s="845"/>
      <c r="D16" s="845"/>
      <c r="E16" s="845"/>
      <c r="G16" s="395"/>
      <c r="H16" s="955"/>
      <c r="I16" s="955"/>
      <c r="J16" s="955"/>
      <c r="K16" s="955"/>
      <c r="L16" s="322"/>
    </row>
    <row r="17" spans="1:12" ht="30" customHeight="1" x14ac:dyDescent="0.25">
      <c r="A17" s="209" t="s">
        <v>7</v>
      </c>
      <c r="B17" s="845"/>
      <c r="C17" s="845"/>
      <c r="D17" s="845"/>
      <c r="E17" s="845"/>
      <c r="G17" s="395"/>
      <c r="H17" s="395"/>
      <c r="I17" s="395"/>
      <c r="J17" s="395"/>
      <c r="K17" s="821"/>
      <c r="L17" s="821"/>
    </row>
    <row r="18" spans="1:12" ht="30" customHeight="1" x14ac:dyDescent="0.25">
      <c r="A18" s="210" t="s">
        <v>468</v>
      </c>
      <c r="B18" s="868">
        <f>(I21-I24)</f>
        <v>341412.24489795917</v>
      </c>
      <c r="C18" s="869"/>
      <c r="D18" s="869"/>
      <c r="E18" s="869"/>
      <c r="G18" s="951" t="s">
        <v>302</v>
      </c>
      <c r="H18" s="951"/>
      <c r="I18" s="142">
        <f>B18/10*J10+K18</f>
        <v>102625.95918367346</v>
      </c>
      <c r="J18" s="143" t="s">
        <v>307</v>
      </c>
      <c r="K18" s="143">
        <f>G10*800</f>
        <v>48000</v>
      </c>
    </row>
    <row r="19" spans="1:12" ht="30" customHeight="1" x14ac:dyDescent="0.25">
      <c r="A19" s="238" t="s">
        <v>467</v>
      </c>
      <c r="B19" s="870"/>
      <c r="C19" s="871"/>
      <c r="D19" s="871"/>
      <c r="E19" s="871"/>
      <c r="G19" s="951" t="s">
        <v>303</v>
      </c>
      <c r="H19" s="951"/>
      <c r="I19" s="142">
        <f>B18*K10*M10/N10+K19</f>
        <v>37772.241566014156</v>
      </c>
      <c r="J19" s="143" t="s">
        <v>307</v>
      </c>
      <c r="K19" s="143">
        <f>G10*100</f>
        <v>6000</v>
      </c>
    </row>
    <row r="20" spans="1:12" ht="30" customHeight="1" x14ac:dyDescent="0.25">
      <c r="A20" s="209" t="s">
        <v>8</v>
      </c>
      <c r="B20" s="859">
        <f>I18-I19</f>
        <v>64853.717617659306</v>
      </c>
      <c r="C20" s="859"/>
      <c r="D20" s="859"/>
      <c r="E20" s="859"/>
      <c r="G20" s="395"/>
      <c r="H20" s="395"/>
      <c r="I20" s="395"/>
      <c r="J20" s="395"/>
    </row>
    <row r="21" spans="1:12" ht="30" customHeight="1" x14ac:dyDescent="0.25">
      <c r="A21" s="209" t="s">
        <v>9</v>
      </c>
      <c r="B21" s="859"/>
      <c r="C21" s="859"/>
      <c r="D21" s="859"/>
      <c r="E21" s="859"/>
      <c r="G21" s="950" t="s">
        <v>304</v>
      </c>
      <c r="H21" s="950"/>
      <c r="I21" s="396">
        <f>H10*I10/I11*10*G10</f>
        <v>557640</v>
      </c>
      <c r="J21" s="143" t="s">
        <v>155</v>
      </c>
    </row>
    <row r="22" spans="1:12" ht="30" customHeight="1" x14ac:dyDescent="0.25">
      <c r="A22" s="209" t="s">
        <v>465</v>
      </c>
      <c r="B22" s="846">
        <f>(B16-J15*G10)/(B20+B21)</f>
        <v>4.6257949585655158</v>
      </c>
      <c r="C22" s="846"/>
      <c r="D22" s="846"/>
      <c r="E22" s="846"/>
      <c r="G22" s="950" t="s">
        <v>305</v>
      </c>
      <c r="H22" s="950"/>
      <c r="I22" s="144">
        <f>I21*M10</f>
        <v>211903.2</v>
      </c>
      <c r="J22" s="143" t="s">
        <v>155</v>
      </c>
    </row>
    <row r="23" spans="1:12" ht="30" customHeight="1" x14ac:dyDescent="0.25">
      <c r="A23" s="209" t="s">
        <v>466</v>
      </c>
      <c r="B23" s="956">
        <f>(B16-(J15*G10)-B17)/(B20+B21)</f>
        <v>4.6257949585655158</v>
      </c>
      <c r="C23" s="956"/>
      <c r="D23" s="956"/>
      <c r="E23" s="956"/>
      <c r="G23" s="950" t="s">
        <v>306</v>
      </c>
      <c r="H23" s="950"/>
      <c r="I23" s="144">
        <f>I22</f>
        <v>211903.2</v>
      </c>
      <c r="J23" s="143" t="s">
        <v>155</v>
      </c>
    </row>
    <row r="24" spans="1:12" ht="30" customHeight="1" x14ac:dyDescent="0.25">
      <c r="A24" s="211" t="s">
        <v>476</v>
      </c>
      <c r="B24" s="958">
        <f>((I21/1000*L10)-(I24/1000*O10))</f>
        <v>120.24539265306122</v>
      </c>
      <c r="C24" s="958"/>
      <c r="D24" s="958"/>
      <c r="E24" s="958"/>
      <c r="G24" s="950" t="s">
        <v>268</v>
      </c>
      <c r="H24" s="950"/>
      <c r="I24" s="144">
        <f>I23/N10</f>
        <v>216227.75510204083</v>
      </c>
      <c r="J24" s="143" t="s">
        <v>155</v>
      </c>
    </row>
    <row r="25" spans="1:12" ht="30" customHeight="1" x14ac:dyDescent="0.25">
      <c r="A25" s="212" t="s">
        <v>463</v>
      </c>
      <c r="B25" s="881">
        <f>B24/'Objectifs CO2'!C14</f>
        <v>0.58081359023019608</v>
      </c>
      <c r="C25" s="881"/>
      <c r="D25" s="881"/>
      <c r="E25" s="881"/>
    </row>
    <row r="26" spans="1:12" ht="30" customHeight="1" x14ac:dyDescent="0.25">
      <c r="A26" s="213" t="s">
        <v>464</v>
      </c>
      <c r="B26" s="881">
        <f>B24/'Objectifs CO2'!C8</f>
        <v>1.742440770690588E-2</v>
      </c>
      <c r="C26" s="881"/>
      <c r="D26" s="881"/>
      <c r="E26" s="881"/>
    </row>
    <row r="27" spans="1:12" ht="30" customHeight="1" x14ac:dyDescent="0.25">
      <c r="A27" s="213" t="s">
        <v>24</v>
      </c>
      <c r="B27" s="874" t="s">
        <v>844</v>
      </c>
      <c r="C27" s="874"/>
      <c r="D27" s="874"/>
      <c r="E27" s="874"/>
    </row>
    <row r="28" spans="1:12" ht="30" customHeight="1" x14ac:dyDescent="0.25">
      <c r="A28" s="213" t="s">
        <v>418</v>
      </c>
      <c r="B28" s="853"/>
      <c r="C28" s="853"/>
      <c r="D28" s="853"/>
      <c r="E28" s="853"/>
    </row>
    <row r="30" spans="1:12" x14ac:dyDescent="0.25">
      <c r="B30" s="867" t="s">
        <v>530</v>
      </c>
      <c r="C30" s="867"/>
      <c r="D30" s="867"/>
      <c r="E30" s="143" t="s">
        <v>538</v>
      </c>
    </row>
    <row r="31" spans="1:12" x14ac:dyDescent="0.25">
      <c r="B31" s="864" t="s">
        <v>521</v>
      </c>
      <c r="C31" s="864"/>
      <c r="D31" s="864"/>
      <c r="E31" s="114"/>
      <c r="G31" s="866" t="s">
        <v>538</v>
      </c>
      <c r="H31" s="866"/>
      <c r="I31" s="866"/>
    </row>
    <row r="32" spans="1:12" x14ac:dyDescent="0.25">
      <c r="B32" s="864" t="s">
        <v>522</v>
      </c>
      <c r="C32" s="864"/>
      <c r="D32" s="864"/>
      <c r="E32" s="114"/>
      <c r="G32" s="252">
        <v>3</v>
      </c>
      <c r="H32" s="866" t="s">
        <v>535</v>
      </c>
      <c r="I32" s="866"/>
    </row>
    <row r="33" spans="2:9" x14ac:dyDescent="0.25">
      <c r="B33" s="864" t="s">
        <v>524</v>
      </c>
      <c r="C33" s="864"/>
      <c r="D33" s="864"/>
      <c r="E33" s="114"/>
      <c r="G33" s="252">
        <v>2</v>
      </c>
      <c r="H33" s="866" t="s">
        <v>536</v>
      </c>
      <c r="I33" s="866"/>
    </row>
    <row r="34" spans="2:9" x14ac:dyDescent="0.25">
      <c r="B34" s="864" t="s">
        <v>523</v>
      </c>
      <c r="C34" s="864"/>
      <c r="D34" s="864"/>
      <c r="E34" s="114"/>
      <c r="G34" s="252">
        <v>1</v>
      </c>
      <c r="H34" s="866" t="s">
        <v>537</v>
      </c>
      <c r="I34" s="866"/>
    </row>
    <row r="35" spans="2:9" x14ac:dyDescent="0.25">
      <c r="B35" s="864" t="s">
        <v>525</v>
      </c>
      <c r="C35" s="864"/>
      <c r="D35" s="864"/>
      <c r="E35" s="114"/>
    </row>
    <row r="36" spans="2:9" x14ac:dyDescent="0.25">
      <c r="B36" s="864" t="s">
        <v>526</v>
      </c>
      <c r="C36" s="864"/>
      <c r="D36" s="864"/>
      <c r="E36" s="114"/>
    </row>
    <row r="37" spans="2:9" x14ac:dyDescent="0.25">
      <c r="B37" s="864" t="s">
        <v>527</v>
      </c>
      <c r="C37" s="864"/>
      <c r="D37" s="864"/>
      <c r="E37" s="114"/>
    </row>
    <row r="38" spans="2:9" x14ac:dyDescent="0.25">
      <c r="B38" s="864" t="s">
        <v>528</v>
      </c>
      <c r="C38" s="864"/>
      <c r="D38" s="864"/>
      <c r="E38" s="114"/>
    </row>
    <row r="39" spans="2:9" x14ac:dyDescent="0.25">
      <c r="B39" s="864" t="s">
        <v>529</v>
      </c>
      <c r="C39" s="864"/>
      <c r="D39" s="864"/>
      <c r="E39" s="114"/>
      <c r="G39" s="863" t="s">
        <v>541</v>
      </c>
      <c r="H39" s="863"/>
      <c r="I39" s="863"/>
    </row>
    <row r="40" spans="2:9" x14ac:dyDescent="0.25">
      <c r="B40" s="865" t="s">
        <v>395</v>
      </c>
      <c r="C40" s="865"/>
      <c r="D40" s="865"/>
      <c r="E40" s="258">
        <f>SUM(E31:E39)</f>
        <v>0</v>
      </c>
      <c r="G40" s="254" t="s">
        <v>542</v>
      </c>
      <c r="H40" s="257" t="s">
        <v>543</v>
      </c>
      <c r="I40" s="254" t="s">
        <v>544</v>
      </c>
    </row>
    <row r="41" spans="2:9" x14ac:dyDescent="0.25">
      <c r="E41" s="202" t="s">
        <v>576</v>
      </c>
      <c r="G41" s="254" t="s">
        <v>545</v>
      </c>
      <c r="H41" s="254" t="s">
        <v>547</v>
      </c>
      <c r="I41" s="254" t="s">
        <v>546</v>
      </c>
    </row>
    <row r="43" spans="2:9" x14ac:dyDescent="0.25">
      <c r="B43" s="860" t="s">
        <v>520</v>
      </c>
      <c r="C43" s="861"/>
      <c r="D43" s="862"/>
      <c r="E43" s="251">
        <v>1</v>
      </c>
      <c r="G43" s="254">
        <v>1</v>
      </c>
      <c r="H43" s="254" t="s">
        <v>539</v>
      </c>
    </row>
    <row r="44" spans="2:9" x14ac:dyDescent="0.25">
      <c r="G44" s="254">
        <v>0</v>
      </c>
      <c r="H44" s="254" t="s">
        <v>540</v>
      </c>
    </row>
  </sheetData>
  <mergeCells count="56">
    <mergeCell ref="G6:I6"/>
    <mergeCell ref="B28:E28"/>
    <mergeCell ref="G24:H24"/>
    <mergeCell ref="G18:H18"/>
    <mergeCell ref="G19:H19"/>
    <mergeCell ref="G21:H21"/>
    <mergeCell ref="G22:H22"/>
    <mergeCell ref="G23:H23"/>
    <mergeCell ref="B27:E27"/>
    <mergeCell ref="B21:E21"/>
    <mergeCell ref="B22:E22"/>
    <mergeCell ref="B23:E23"/>
    <mergeCell ref="B24:E24"/>
    <mergeCell ref="B25:E25"/>
    <mergeCell ref="B26:E26"/>
    <mergeCell ref="B18:E18"/>
    <mergeCell ref="K17:L17"/>
    <mergeCell ref="H13:I14"/>
    <mergeCell ref="J13:K14"/>
    <mergeCell ref="H15:I16"/>
    <mergeCell ref="J15:K16"/>
    <mergeCell ref="B10:E10"/>
    <mergeCell ref="B11:E11"/>
    <mergeCell ref="B12:E12"/>
    <mergeCell ref="B13:E13"/>
    <mergeCell ref="B14:E14"/>
    <mergeCell ref="A2:E2"/>
    <mergeCell ref="C5:D5"/>
    <mergeCell ref="B7:E7"/>
    <mergeCell ref="B8:E8"/>
    <mergeCell ref="B9:E9"/>
    <mergeCell ref="C4:D4"/>
    <mergeCell ref="G31:I31"/>
    <mergeCell ref="B32:D32"/>
    <mergeCell ref="H32:I32"/>
    <mergeCell ref="B15:E15"/>
    <mergeCell ref="B16:E16"/>
    <mergeCell ref="B17:E17"/>
    <mergeCell ref="B19:E19"/>
    <mergeCell ref="B20:E20"/>
    <mergeCell ref="B43:D43"/>
    <mergeCell ref="G4:I4"/>
    <mergeCell ref="G5:I5"/>
    <mergeCell ref="G39:I39"/>
    <mergeCell ref="B36:D36"/>
    <mergeCell ref="B37:D37"/>
    <mergeCell ref="B38:D38"/>
    <mergeCell ref="B39:D39"/>
    <mergeCell ref="B40:D40"/>
    <mergeCell ref="B33:D33"/>
    <mergeCell ref="H33:I33"/>
    <mergeCell ref="B34:D34"/>
    <mergeCell ref="H34:I34"/>
    <mergeCell ref="B35:D35"/>
    <mergeCell ref="B30:D30"/>
    <mergeCell ref="B31:D31"/>
  </mergeCells>
  <conditionalFormatting sqref="E5">
    <cfRule type="containsText" dxfId="71" priority="1" operator="containsText" text="Terminé">
      <formula>NOT(ISERROR(SEARCH("Terminé",E5)))</formula>
    </cfRule>
    <cfRule type="containsText" dxfId="70" priority="2" operator="containsText" text="En cours">
      <formula>NOT(ISERROR(SEARCH("En cours",E5)))</formula>
    </cfRule>
    <cfRule type="containsText" dxfId="69"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pageSetup paperSize="9" scale="9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44"/>
  <sheetViews>
    <sheetView topLeftCell="C16" workbookViewId="0">
      <selection activeCell="C16" sqref="A1:XFD1048576"/>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5" ht="21" x14ac:dyDescent="0.35">
      <c r="A1" s="11" t="s">
        <v>87</v>
      </c>
      <c r="B1" s="11"/>
      <c r="C1" s="11"/>
      <c r="D1" s="11"/>
      <c r="E1" s="11"/>
    </row>
    <row r="2" spans="1:15" ht="26.25" x14ac:dyDescent="0.4">
      <c r="A2" s="856" t="s">
        <v>913</v>
      </c>
      <c r="B2" s="856"/>
      <c r="C2" s="856"/>
      <c r="D2" s="856"/>
      <c r="E2" s="856"/>
    </row>
    <row r="3" spans="1:15" ht="27" thickBot="1" x14ac:dyDescent="0.45">
      <c r="A3" s="633"/>
      <c r="B3" s="633"/>
      <c r="C3" s="633"/>
      <c r="D3" s="633"/>
      <c r="E3" s="633"/>
    </row>
    <row r="4" spans="1:15" ht="15.75" thickBot="1" x14ac:dyDescent="0.3">
      <c r="A4" s="12"/>
      <c r="B4" s="233" t="s">
        <v>469</v>
      </c>
      <c r="C4" s="851" t="s">
        <v>37</v>
      </c>
      <c r="D4" s="852"/>
      <c r="E4" s="175" t="s">
        <v>862</v>
      </c>
      <c r="G4" s="848" t="s">
        <v>914</v>
      </c>
      <c r="H4" s="848"/>
      <c r="I4" s="848"/>
    </row>
    <row r="5" spans="1:15" ht="15.75" x14ac:dyDescent="0.25">
      <c r="A5" s="381" t="s">
        <v>651</v>
      </c>
      <c r="B5" s="382" t="s">
        <v>652</v>
      </c>
      <c r="C5" s="820" t="s">
        <v>18</v>
      </c>
      <c r="D5" s="820"/>
      <c r="E5" s="232" t="s">
        <v>21</v>
      </c>
      <c r="G5" s="848" t="s">
        <v>915</v>
      </c>
      <c r="H5" s="848"/>
      <c r="I5" s="848"/>
    </row>
    <row r="6" spans="1:15" ht="16.5" thickBot="1" x14ac:dyDescent="0.3">
      <c r="A6" s="379" t="s">
        <v>660</v>
      </c>
      <c r="B6" s="380" t="s">
        <v>658</v>
      </c>
      <c r="G6" s="850" t="s">
        <v>916</v>
      </c>
      <c r="H6" s="850"/>
      <c r="I6" s="850"/>
    </row>
    <row r="7" spans="1:15" ht="24" customHeight="1" thickBot="1" x14ac:dyDescent="0.3">
      <c r="A7" s="207" t="s">
        <v>1</v>
      </c>
      <c r="B7" s="820" t="s">
        <v>864</v>
      </c>
      <c r="C7" s="820"/>
      <c r="D7" s="820"/>
      <c r="E7" s="820"/>
    </row>
    <row r="8" spans="1:15" s="370" customFormat="1" ht="53.25" customHeight="1" thickBot="1" x14ac:dyDescent="0.3">
      <c r="A8" s="219" t="s">
        <v>0</v>
      </c>
      <c r="B8" s="820" t="s">
        <v>865</v>
      </c>
      <c r="C8" s="820"/>
      <c r="D8" s="820"/>
      <c r="E8" s="820"/>
    </row>
    <row r="9" spans="1:15" ht="30" x14ac:dyDescent="0.25">
      <c r="A9" s="208" t="s">
        <v>2</v>
      </c>
      <c r="B9" s="890" t="s">
        <v>866</v>
      </c>
      <c r="C9" s="889"/>
      <c r="D9" s="889"/>
      <c r="E9" s="889"/>
      <c r="G9" s="116" t="s">
        <v>296</v>
      </c>
      <c r="H9" s="117" t="s">
        <v>297</v>
      </c>
      <c r="I9" s="117" t="s">
        <v>139</v>
      </c>
      <c r="J9" s="117" t="s">
        <v>868</v>
      </c>
      <c r="K9" s="117" t="s">
        <v>175</v>
      </c>
      <c r="L9" s="117" t="s">
        <v>202</v>
      </c>
      <c r="M9" s="117" t="s">
        <v>299</v>
      </c>
      <c r="N9" s="117" t="s">
        <v>300</v>
      </c>
      <c r="O9" s="117" t="s">
        <v>301</v>
      </c>
    </row>
    <row r="10" spans="1:15" ht="27" customHeight="1" x14ac:dyDescent="0.25">
      <c r="A10" s="208" t="s">
        <v>31</v>
      </c>
      <c r="B10" s="889" t="s">
        <v>867</v>
      </c>
      <c r="C10" s="889"/>
      <c r="D10" s="889"/>
      <c r="E10" s="889"/>
      <c r="G10" s="638">
        <f>L16*L14/M14</f>
        <v>31.590564928291343</v>
      </c>
      <c r="H10" s="636">
        <v>15490</v>
      </c>
      <c r="I10" s="636">
        <v>3</v>
      </c>
      <c r="J10" s="636">
        <v>1.2</v>
      </c>
      <c r="K10" s="636">
        <v>0</v>
      </c>
      <c r="L10" s="636">
        <v>0.26100000000000001</v>
      </c>
      <c r="M10" s="636">
        <v>0.38</v>
      </c>
      <c r="N10" s="636">
        <v>0.98</v>
      </c>
      <c r="O10" s="139">
        <f>V14</f>
        <v>0</v>
      </c>
    </row>
    <row r="11" spans="1:15" ht="30" customHeight="1" x14ac:dyDescent="0.25">
      <c r="A11" s="209" t="s">
        <v>16</v>
      </c>
      <c r="B11" s="858" t="s">
        <v>512</v>
      </c>
      <c r="C11" s="858"/>
      <c r="D11" s="858"/>
      <c r="E11" s="858"/>
      <c r="G11" s="395"/>
      <c r="H11" s="395"/>
      <c r="I11" s="636">
        <v>100</v>
      </c>
      <c r="J11" s="395"/>
      <c r="K11" s="395"/>
      <c r="L11" s="395"/>
      <c r="M11" s="395"/>
      <c r="N11" s="395"/>
      <c r="O11" s="395"/>
    </row>
    <row r="12" spans="1:15" ht="30" customHeight="1" x14ac:dyDescent="0.25">
      <c r="A12" s="209" t="s">
        <v>3</v>
      </c>
      <c r="B12" s="874"/>
      <c r="C12" s="874"/>
      <c r="D12" s="874"/>
      <c r="E12" s="874"/>
    </row>
    <row r="13" spans="1:15" ht="30" customHeight="1" x14ac:dyDescent="0.25">
      <c r="A13" s="209" t="s">
        <v>17</v>
      </c>
      <c r="B13" s="874"/>
      <c r="C13" s="874"/>
      <c r="D13" s="874"/>
      <c r="E13" s="874"/>
      <c r="H13" s="955" t="s">
        <v>869</v>
      </c>
      <c r="I13" s="955"/>
      <c r="J13" s="955" t="s">
        <v>780</v>
      </c>
      <c r="K13" s="955"/>
      <c r="L13" s="639" t="s">
        <v>875</v>
      </c>
      <c r="M13" s="639" t="s">
        <v>870</v>
      </c>
    </row>
    <row r="14" spans="1:15" ht="30" customHeight="1" x14ac:dyDescent="0.25">
      <c r="A14" s="209" t="s">
        <v>4</v>
      </c>
      <c r="B14" s="874">
        <v>2007</v>
      </c>
      <c r="C14" s="874"/>
      <c r="D14" s="874"/>
      <c r="E14" s="874"/>
      <c r="G14" s="395"/>
      <c r="H14" s="955"/>
      <c r="I14" s="955"/>
      <c r="J14" s="955"/>
      <c r="K14" s="955"/>
      <c r="L14" s="639">
        <v>8276</v>
      </c>
      <c r="M14" s="639">
        <v>11311117</v>
      </c>
    </row>
    <row r="15" spans="1:15" ht="30" customHeight="1" x14ac:dyDescent="0.25">
      <c r="A15" s="209" t="s">
        <v>5</v>
      </c>
      <c r="B15" s="874">
        <v>2016</v>
      </c>
      <c r="C15" s="874"/>
      <c r="D15" s="874"/>
      <c r="E15" s="874"/>
      <c r="G15" s="395"/>
      <c r="H15" s="955">
        <v>18000</v>
      </c>
      <c r="I15" s="955"/>
      <c r="J15" s="955">
        <v>16000</v>
      </c>
      <c r="K15" s="955"/>
      <c r="L15" s="640" t="s">
        <v>871</v>
      </c>
    </row>
    <row r="16" spans="1:15" ht="30" customHeight="1" x14ac:dyDescent="0.25">
      <c r="A16" s="209" t="s">
        <v>6</v>
      </c>
      <c r="B16" s="845">
        <f>G10*H15</f>
        <v>568630.16870924423</v>
      </c>
      <c r="C16" s="845"/>
      <c r="D16" s="845"/>
      <c r="E16" s="845"/>
      <c r="G16" s="395"/>
      <c r="H16" s="955"/>
      <c r="I16" s="955"/>
      <c r="J16" s="955"/>
      <c r="K16" s="955"/>
      <c r="L16" s="640">
        <v>43176</v>
      </c>
    </row>
    <row r="17" spans="1:12" ht="30" customHeight="1" x14ac:dyDescent="0.25">
      <c r="A17" s="209" t="s">
        <v>7</v>
      </c>
      <c r="B17" s="845">
        <v>0</v>
      </c>
      <c r="C17" s="845"/>
      <c r="D17" s="845"/>
      <c r="E17" s="845"/>
      <c r="G17" s="395"/>
      <c r="H17" s="395"/>
      <c r="I17" s="395"/>
      <c r="J17" s="395"/>
      <c r="K17" s="821"/>
      <c r="L17" s="821"/>
    </row>
    <row r="18" spans="1:12" ht="30" customHeight="1" x14ac:dyDescent="0.25">
      <c r="A18" s="210" t="s">
        <v>468</v>
      </c>
      <c r="B18" s="868">
        <f>(I21-I24)/2</f>
        <v>44939.190374011181</v>
      </c>
      <c r="C18" s="869"/>
      <c r="D18" s="869"/>
      <c r="E18" s="869"/>
      <c r="G18" s="951" t="s">
        <v>872</v>
      </c>
      <c r="H18" s="951"/>
      <c r="I18" s="142">
        <f>B18/10*J10+K18</f>
        <v>30665.154787514413</v>
      </c>
      <c r="J18" s="143" t="s">
        <v>307</v>
      </c>
      <c r="K18" s="143">
        <f>G10*800</f>
        <v>25272.451942633073</v>
      </c>
    </row>
    <row r="19" spans="1:12" ht="30" customHeight="1" x14ac:dyDescent="0.25">
      <c r="A19" s="238" t="s">
        <v>467</v>
      </c>
      <c r="B19" s="870"/>
      <c r="C19" s="871"/>
      <c r="D19" s="871"/>
      <c r="E19" s="871"/>
      <c r="G19" s="951" t="s">
        <v>303</v>
      </c>
      <c r="H19" s="951"/>
      <c r="I19" s="142">
        <f>B18*K10*M10/N10+K19</f>
        <v>3159.0564928291342</v>
      </c>
      <c r="J19" s="143" t="s">
        <v>307</v>
      </c>
      <c r="K19" s="143">
        <f>G10*100</f>
        <v>3159.0564928291342</v>
      </c>
    </row>
    <row r="20" spans="1:12" ht="30" customHeight="1" x14ac:dyDescent="0.25">
      <c r="A20" s="209" t="s">
        <v>8</v>
      </c>
      <c r="B20" s="859">
        <f>I18-I19</f>
        <v>27506.098294685278</v>
      </c>
      <c r="C20" s="859"/>
      <c r="D20" s="859"/>
      <c r="E20" s="859"/>
      <c r="G20" s="395"/>
      <c r="H20" s="395"/>
      <c r="I20" s="395"/>
      <c r="J20" s="395"/>
    </row>
    <row r="21" spans="1:12" ht="30" customHeight="1" x14ac:dyDescent="0.25">
      <c r="A21" s="209" t="s">
        <v>9</v>
      </c>
      <c r="B21" s="859"/>
      <c r="C21" s="859"/>
      <c r="D21" s="859"/>
      <c r="E21" s="859"/>
      <c r="G21" s="950" t="s">
        <v>873</v>
      </c>
      <c r="H21" s="950"/>
      <c r="I21" s="635">
        <f>H10*I10/I11*10*G10</f>
        <v>146801.35522176986</v>
      </c>
      <c r="J21" s="143" t="s">
        <v>155</v>
      </c>
    </row>
    <row r="22" spans="1:12" ht="30" customHeight="1" x14ac:dyDescent="0.25">
      <c r="A22" s="209" t="s">
        <v>465</v>
      </c>
      <c r="B22" s="846">
        <f>(B16-J15*G10)/(B20+B21)</f>
        <v>2.2969862602719839</v>
      </c>
      <c r="C22" s="846"/>
      <c r="D22" s="846"/>
      <c r="E22" s="846"/>
      <c r="G22" s="950" t="s">
        <v>874</v>
      </c>
      <c r="H22" s="950"/>
      <c r="I22" s="144">
        <f>I21*M10</f>
        <v>55784.514984272544</v>
      </c>
      <c r="J22" s="143" t="s">
        <v>155</v>
      </c>
    </row>
    <row r="23" spans="1:12" ht="30" customHeight="1" x14ac:dyDescent="0.25">
      <c r="A23" s="209" t="s">
        <v>466</v>
      </c>
      <c r="B23" s="956">
        <f>(B16-(J15*G10)-B17)/(B20+B21)</f>
        <v>2.2969862602719839</v>
      </c>
      <c r="C23" s="956"/>
      <c r="D23" s="956"/>
      <c r="E23" s="956"/>
      <c r="G23" s="950" t="s">
        <v>306</v>
      </c>
      <c r="H23" s="950"/>
      <c r="I23" s="144">
        <f>I22</f>
        <v>55784.514984272544</v>
      </c>
      <c r="J23" s="143" t="s">
        <v>155</v>
      </c>
    </row>
    <row r="24" spans="1:12" ht="30" customHeight="1" x14ac:dyDescent="0.25">
      <c r="A24" s="211" t="s">
        <v>476</v>
      </c>
      <c r="B24" s="958">
        <f>((I21/1000*L10)-(I24/1000*O10))/2</f>
        <v>19.157576856440965</v>
      </c>
      <c r="C24" s="958"/>
      <c r="D24" s="958"/>
      <c r="E24" s="958"/>
      <c r="G24" s="950" t="s">
        <v>268</v>
      </c>
      <c r="H24" s="950"/>
      <c r="I24" s="144">
        <f>I23/N10</f>
        <v>56922.974473747498</v>
      </c>
      <c r="J24" s="143" t="s">
        <v>155</v>
      </c>
    </row>
    <row r="25" spans="1:12" ht="30" customHeight="1" x14ac:dyDescent="0.25">
      <c r="A25" s="212" t="s">
        <v>463</v>
      </c>
      <c r="B25" s="881">
        <f>B24/'Objectifs CO2'!C14</f>
        <v>9.2535611956497857E-2</v>
      </c>
      <c r="C25" s="881"/>
      <c r="D25" s="881"/>
      <c r="E25" s="881"/>
    </row>
    <row r="26" spans="1:12" ht="30" customHeight="1" x14ac:dyDescent="0.25">
      <c r="A26" s="213" t="s">
        <v>464</v>
      </c>
      <c r="B26" s="881">
        <f>B24/'Objectifs CO2'!C8</f>
        <v>2.7760683586949353E-3</v>
      </c>
      <c r="C26" s="881"/>
      <c r="D26" s="881"/>
      <c r="E26" s="881"/>
    </row>
    <row r="27" spans="1:12" ht="30" customHeight="1" x14ac:dyDescent="0.25">
      <c r="A27" s="213" t="s">
        <v>24</v>
      </c>
      <c r="B27" s="874" t="s">
        <v>844</v>
      </c>
      <c r="C27" s="874"/>
      <c r="D27" s="874"/>
      <c r="E27" s="874"/>
    </row>
    <row r="28" spans="1:12" ht="30" customHeight="1" x14ac:dyDescent="0.25">
      <c r="A28" s="213" t="s">
        <v>418</v>
      </c>
      <c r="B28" s="853"/>
      <c r="C28" s="853"/>
      <c r="D28" s="853"/>
      <c r="E28" s="853"/>
    </row>
    <row r="30" spans="1:12" x14ac:dyDescent="0.25">
      <c r="B30" s="867" t="s">
        <v>530</v>
      </c>
      <c r="C30" s="867"/>
      <c r="D30" s="867"/>
      <c r="E30" s="143" t="s">
        <v>538</v>
      </c>
    </row>
    <row r="31" spans="1:12" x14ac:dyDescent="0.25">
      <c r="B31" s="864" t="s">
        <v>521</v>
      </c>
      <c r="C31" s="864"/>
      <c r="D31" s="864"/>
      <c r="E31" s="114"/>
      <c r="G31" s="866" t="s">
        <v>538</v>
      </c>
      <c r="H31" s="866"/>
      <c r="I31" s="866"/>
    </row>
    <row r="32" spans="1:12" x14ac:dyDescent="0.25">
      <c r="B32" s="864" t="s">
        <v>522</v>
      </c>
      <c r="C32" s="864"/>
      <c r="D32" s="864"/>
      <c r="E32" s="114"/>
      <c r="G32" s="252">
        <v>3</v>
      </c>
      <c r="H32" s="866" t="s">
        <v>535</v>
      </c>
      <c r="I32" s="866"/>
    </row>
    <row r="33" spans="2:9" x14ac:dyDescent="0.25">
      <c r="B33" s="864" t="s">
        <v>524</v>
      </c>
      <c r="C33" s="864"/>
      <c r="D33" s="864"/>
      <c r="E33" s="114"/>
      <c r="G33" s="252">
        <v>2</v>
      </c>
      <c r="H33" s="866" t="s">
        <v>536</v>
      </c>
      <c r="I33" s="866"/>
    </row>
    <row r="34" spans="2:9" x14ac:dyDescent="0.25">
      <c r="B34" s="864" t="s">
        <v>523</v>
      </c>
      <c r="C34" s="864"/>
      <c r="D34" s="864"/>
      <c r="E34" s="114"/>
      <c r="G34" s="252">
        <v>1</v>
      </c>
      <c r="H34" s="866" t="s">
        <v>537</v>
      </c>
      <c r="I34" s="866"/>
    </row>
    <row r="35" spans="2:9" x14ac:dyDescent="0.25">
      <c r="B35" s="864" t="s">
        <v>525</v>
      </c>
      <c r="C35" s="864"/>
      <c r="D35" s="864"/>
      <c r="E35" s="114"/>
    </row>
    <row r="36" spans="2:9" x14ac:dyDescent="0.25">
      <c r="B36" s="864" t="s">
        <v>526</v>
      </c>
      <c r="C36" s="864"/>
      <c r="D36" s="864"/>
      <c r="E36" s="114"/>
    </row>
    <row r="37" spans="2:9" x14ac:dyDescent="0.25">
      <c r="B37" s="864" t="s">
        <v>527</v>
      </c>
      <c r="C37" s="864"/>
      <c r="D37" s="864"/>
      <c r="E37" s="114"/>
    </row>
    <row r="38" spans="2:9" x14ac:dyDescent="0.25">
      <c r="B38" s="864" t="s">
        <v>528</v>
      </c>
      <c r="C38" s="864"/>
      <c r="D38" s="864"/>
      <c r="E38" s="114"/>
    </row>
    <row r="39" spans="2:9" x14ac:dyDescent="0.25">
      <c r="B39" s="864" t="s">
        <v>529</v>
      </c>
      <c r="C39" s="864"/>
      <c r="D39" s="864"/>
      <c r="E39" s="114"/>
      <c r="G39" s="863" t="s">
        <v>541</v>
      </c>
      <c r="H39" s="863"/>
      <c r="I39" s="863"/>
    </row>
    <row r="40" spans="2:9" x14ac:dyDescent="0.25">
      <c r="B40" s="865" t="s">
        <v>395</v>
      </c>
      <c r="C40" s="865"/>
      <c r="D40" s="865"/>
      <c r="E40" s="258">
        <f>SUM(E31:E39)</f>
        <v>0</v>
      </c>
      <c r="G40" s="254" t="s">
        <v>542</v>
      </c>
      <c r="H40" s="257" t="s">
        <v>543</v>
      </c>
      <c r="I40" s="254" t="s">
        <v>544</v>
      </c>
    </row>
    <row r="41" spans="2:9" x14ac:dyDescent="0.25">
      <c r="E41" s="202" t="s">
        <v>576</v>
      </c>
      <c r="G41" s="254" t="s">
        <v>545</v>
      </c>
      <c r="H41" s="254" t="s">
        <v>547</v>
      </c>
      <c r="I41" s="254" t="s">
        <v>546</v>
      </c>
    </row>
    <row r="43" spans="2:9" x14ac:dyDescent="0.25">
      <c r="B43" s="860" t="s">
        <v>520</v>
      </c>
      <c r="C43" s="861"/>
      <c r="D43" s="862"/>
      <c r="E43" s="251">
        <v>1</v>
      </c>
      <c r="G43" s="254">
        <v>1</v>
      </c>
      <c r="H43" s="254" t="s">
        <v>539</v>
      </c>
    </row>
    <row r="44" spans="2:9" x14ac:dyDescent="0.25">
      <c r="G44" s="254">
        <v>0</v>
      </c>
      <c r="H44" s="254" t="s">
        <v>540</v>
      </c>
    </row>
  </sheetData>
  <mergeCells count="56">
    <mergeCell ref="B7:E7"/>
    <mergeCell ref="A2:E2"/>
    <mergeCell ref="G4:I4"/>
    <mergeCell ref="C5:D5"/>
    <mergeCell ref="G5:I5"/>
    <mergeCell ref="G6:I6"/>
    <mergeCell ref="B8:E8"/>
    <mergeCell ref="B9:E9"/>
    <mergeCell ref="B10:E10"/>
    <mergeCell ref="B11:E11"/>
    <mergeCell ref="B12:E12"/>
    <mergeCell ref="H13:I14"/>
    <mergeCell ref="J13:K14"/>
    <mergeCell ref="B14:E14"/>
    <mergeCell ref="B15:E15"/>
    <mergeCell ref="H15:I16"/>
    <mergeCell ref="J15:K16"/>
    <mergeCell ref="B16:E16"/>
    <mergeCell ref="B13:E13"/>
    <mergeCell ref="B23:E23"/>
    <mergeCell ref="G23:H23"/>
    <mergeCell ref="B17:E17"/>
    <mergeCell ref="K17:L17"/>
    <mergeCell ref="B18:E18"/>
    <mergeCell ref="G18:H18"/>
    <mergeCell ref="B19:E19"/>
    <mergeCell ref="G19:H19"/>
    <mergeCell ref="B20:E20"/>
    <mergeCell ref="B21:E21"/>
    <mergeCell ref="G21:H21"/>
    <mergeCell ref="B22:E22"/>
    <mergeCell ref="G22:H22"/>
    <mergeCell ref="B33:D33"/>
    <mergeCell ref="H33:I33"/>
    <mergeCell ref="B24:E24"/>
    <mergeCell ref="G24:H24"/>
    <mergeCell ref="B25:E25"/>
    <mergeCell ref="B26:E26"/>
    <mergeCell ref="B27:E27"/>
    <mergeCell ref="B28:E28"/>
    <mergeCell ref="B39:D39"/>
    <mergeCell ref="G39:I39"/>
    <mergeCell ref="B40:D40"/>
    <mergeCell ref="B43:D43"/>
    <mergeCell ref="C4:D4"/>
    <mergeCell ref="B34:D34"/>
    <mergeCell ref="H34:I34"/>
    <mergeCell ref="B35:D35"/>
    <mergeCell ref="B36:D36"/>
    <mergeCell ref="B37:D37"/>
    <mergeCell ref="B38:D38"/>
    <mergeCell ref="B30:D30"/>
    <mergeCell ref="B31:D31"/>
    <mergeCell ref="G31:I31"/>
    <mergeCell ref="B32:D32"/>
    <mergeCell ref="H32:I32"/>
  </mergeCells>
  <conditionalFormatting sqref="E5">
    <cfRule type="containsText" dxfId="68" priority="1" operator="containsText" text="Terminé">
      <formula>NOT(ISERROR(SEARCH("Terminé",E5)))</formula>
    </cfRule>
    <cfRule type="containsText" dxfId="67" priority="2" operator="containsText" text="En cours">
      <formula>NOT(ISERROR(SEARCH("En cours",E5)))</formula>
    </cfRule>
    <cfRule type="containsText" dxfId="66"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CO2'!$R$8:$R$15</xm:f>
          </x14:formula1>
          <xm:sqref>B5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CO2'!$P$8:$P$12</xm:f>
          </x14:formula1>
          <xm:sqref>E5</xm:sqref>
        </x14:dataValidation>
        <x14:dataValidation type="list" allowBlank="1" showInputMessage="1" showErrorMessage="1">
          <x14:formula1>
            <xm:f>'Objectifs CO2'!$U$3:$U$9</xm:f>
          </x14:formula1>
          <xm:sqref>C4:D4</xm:sqref>
        </x14:dataValidation>
      </x14:dataValidations>
    </ext>
  </extLs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4"/>
  <sheetViews>
    <sheetView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5" ht="21" x14ac:dyDescent="0.35">
      <c r="A1" s="11" t="s">
        <v>87</v>
      </c>
      <c r="B1" s="11"/>
      <c r="C1" s="11"/>
      <c r="D1" s="11"/>
      <c r="E1" s="11"/>
    </row>
    <row r="2" spans="1:15" ht="26.25" x14ac:dyDescent="0.4">
      <c r="A2" s="856" t="s">
        <v>913</v>
      </c>
      <c r="B2" s="856"/>
      <c r="C2" s="856"/>
      <c r="D2" s="856"/>
      <c r="E2" s="856"/>
    </row>
    <row r="3" spans="1:15" ht="27" thickBot="1" x14ac:dyDescent="0.45">
      <c r="A3" s="815"/>
      <c r="B3" s="815"/>
      <c r="C3" s="815"/>
      <c r="D3" s="815"/>
      <c r="E3" s="815"/>
    </row>
    <row r="4" spans="1:15" ht="15.75" thickBot="1" x14ac:dyDescent="0.3">
      <c r="A4" s="12"/>
      <c r="B4" s="233" t="s">
        <v>469</v>
      </c>
      <c r="C4" s="851" t="s">
        <v>37</v>
      </c>
      <c r="D4" s="852"/>
      <c r="E4" s="175" t="s">
        <v>863</v>
      </c>
      <c r="G4" s="848" t="s">
        <v>914</v>
      </c>
      <c r="H4" s="848"/>
      <c r="I4" s="848"/>
    </row>
    <row r="5" spans="1:15" ht="15.75" x14ac:dyDescent="0.25">
      <c r="A5" s="381" t="s">
        <v>651</v>
      </c>
      <c r="B5" s="382" t="s">
        <v>652</v>
      </c>
      <c r="C5" s="820" t="s">
        <v>18</v>
      </c>
      <c r="D5" s="820"/>
      <c r="E5" s="232" t="s">
        <v>19</v>
      </c>
      <c r="G5" s="848" t="s">
        <v>915</v>
      </c>
      <c r="H5" s="848"/>
      <c r="I5" s="848"/>
    </row>
    <row r="6" spans="1:15" ht="16.5" thickBot="1" x14ac:dyDescent="0.3">
      <c r="A6" s="379" t="s">
        <v>660</v>
      </c>
      <c r="B6" s="380" t="s">
        <v>658</v>
      </c>
      <c r="G6" s="850" t="s">
        <v>916</v>
      </c>
      <c r="H6" s="850"/>
      <c r="I6" s="850"/>
    </row>
    <row r="7" spans="1:15" ht="24" customHeight="1" thickBot="1" x14ac:dyDescent="0.3">
      <c r="A7" s="207" t="s">
        <v>1</v>
      </c>
      <c r="B7" s="820" t="s">
        <v>864</v>
      </c>
      <c r="C7" s="820"/>
      <c r="D7" s="820"/>
      <c r="E7" s="820"/>
    </row>
    <row r="8" spans="1:15" s="370" customFormat="1" ht="53.25" customHeight="1" thickBot="1" x14ac:dyDescent="0.3">
      <c r="A8" s="219" t="s">
        <v>0</v>
      </c>
      <c r="B8" s="820" t="s">
        <v>865</v>
      </c>
      <c r="C8" s="820"/>
      <c r="D8" s="820"/>
      <c r="E8" s="820"/>
    </row>
    <row r="9" spans="1:15" ht="30" x14ac:dyDescent="0.25">
      <c r="A9" s="208" t="s">
        <v>2</v>
      </c>
      <c r="B9" s="890" t="s">
        <v>999</v>
      </c>
      <c r="C9" s="889"/>
      <c r="D9" s="889"/>
      <c r="E9" s="889"/>
      <c r="G9" s="116" t="s">
        <v>296</v>
      </c>
      <c r="H9" s="117" t="s">
        <v>297</v>
      </c>
      <c r="I9" s="117" t="s">
        <v>139</v>
      </c>
      <c r="J9" s="117" t="s">
        <v>868</v>
      </c>
      <c r="K9" s="117" t="s">
        <v>175</v>
      </c>
      <c r="L9" s="117" t="s">
        <v>202</v>
      </c>
      <c r="M9" s="117" t="s">
        <v>299</v>
      </c>
      <c r="N9" s="117" t="s">
        <v>300</v>
      </c>
      <c r="O9" s="117" t="s">
        <v>301</v>
      </c>
    </row>
    <row r="10" spans="1:15" ht="27" customHeight="1" x14ac:dyDescent="0.25">
      <c r="A10" s="208" t="s">
        <v>31</v>
      </c>
      <c r="B10" s="889" t="s">
        <v>867</v>
      </c>
      <c r="C10" s="889"/>
      <c r="D10" s="889"/>
      <c r="E10" s="889"/>
      <c r="G10" s="638">
        <v>100</v>
      </c>
      <c r="H10" s="817">
        <v>15490</v>
      </c>
      <c r="I10" s="817">
        <v>3</v>
      </c>
      <c r="J10" s="817">
        <v>1.2</v>
      </c>
      <c r="K10" s="817">
        <v>0</v>
      </c>
      <c r="L10" s="817">
        <v>0.26100000000000001</v>
      </c>
      <c r="M10" s="817">
        <v>0.38</v>
      </c>
      <c r="N10" s="817">
        <v>0.98</v>
      </c>
      <c r="O10" s="139">
        <f>V14</f>
        <v>0</v>
      </c>
    </row>
    <row r="11" spans="1:15" ht="30" customHeight="1" x14ac:dyDescent="0.25">
      <c r="A11" s="209" t="s">
        <v>16</v>
      </c>
      <c r="B11" s="858" t="s">
        <v>512</v>
      </c>
      <c r="C11" s="858"/>
      <c r="D11" s="858"/>
      <c r="E11" s="858"/>
      <c r="G11" s="395"/>
      <c r="H11" s="395"/>
      <c r="I11" s="817">
        <v>100</v>
      </c>
      <c r="J11" s="395"/>
      <c r="K11" s="395"/>
      <c r="L11" s="395"/>
      <c r="M11" s="395"/>
      <c r="N11" s="395"/>
      <c r="O11" s="395"/>
    </row>
    <row r="12" spans="1:15" ht="30" customHeight="1" x14ac:dyDescent="0.25">
      <c r="A12" s="209" t="s">
        <v>3</v>
      </c>
      <c r="B12" s="874"/>
      <c r="C12" s="874"/>
      <c r="D12" s="874"/>
      <c r="E12" s="874"/>
    </row>
    <row r="13" spans="1:15" ht="30" customHeight="1" x14ac:dyDescent="0.25">
      <c r="A13" s="209" t="s">
        <v>17</v>
      </c>
      <c r="B13" s="874"/>
      <c r="C13" s="874"/>
      <c r="D13" s="874"/>
      <c r="E13" s="874"/>
      <c r="H13" s="955" t="s">
        <v>869</v>
      </c>
      <c r="I13" s="955"/>
      <c r="J13" s="955" t="s">
        <v>780</v>
      </c>
      <c r="K13" s="955"/>
      <c r="L13" s="639" t="s">
        <v>875</v>
      </c>
      <c r="M13" s="639" t="s">
        <v>870</v>
      </c>
    </row>
    <row r="14" spans="1:15" ht="30" customHeight="1" x14ac:dyDescent="0.25">
      <c r="A14" s="209" t="s">
        <v>4</v>
      </c>
      <c r="B14" s="874">
        <v>2018</v>
      </c>
      <c r="C14" s="874"/>
      <c r="D14" s="874"/>
      <c r="E14" s="874"/>
      <c r="G14" s="395"/>
      <c r="H14" s="955"/>
      <c r="I14" s="955"/>
      <c r="J14" s="955"/>
      <c r="K14" s="955"/>
      <c r="L14" s="639">
        <v>8276</v>
      </c>
      <c r="M14" s="639">
        <v>11311117</v>
      </c>
    </row>
    <row r="15" spans="1:15" ht="30" customHeight="1" x14ac:dyDescent="0.25">
      <c r="A15" s="209" t="s">
        <v>5</v>
      </c>
      <c r="B15" s="874">
        <v>2020</v>
      </c>
      <c r="C15" s="874"/>
      <c r="D15" s="874"/>
      <c r="E15" s="874"/>
      <c r="G15" s="395"/>
      <c r="H15" s="955">
        <v>18000</v>
      </c>
      <c r="I15" s="955"/>
      <c r="J15" s="955">
        <v>16000</v>
      </c>
      <c r="K15" s="955"/>
      <c r="L15" s="640" t="s">
        <v>871</v>
      </c>
    </row>
    <row r="16" spans="1:15" ht="30" customHeight="1" x14ac:dyDescent="0.25">
      <c r="A16" s="209" t="s">
        <v>6</v>
      </c>
      <c r="B16" s="845">
        <f>G10*H15</f>
        <v>1800000</v>
      </c>
      <c r="C16" s="845"/>
      <c r="D16" s="845"/>
      <c r="E16" s="845"/>
      <c r="G16" s="395"/>
      <c r="H16" s="955"/>
      <c r="I16" s="955"/>
      <c r="J16" s="955"/>
      <c r="K16" s="955"/>
      <c r="L16" s="640">
        <v>43176</v>
      </c>
    </row>
    <row r="17" spans="1:12" ht="30" customHeight="1" x14ac:dyDescent="0.25">
      <c r="A17" s="209" t="s">
        <v>7</v>
      </c>
      <c r="B17" s="845">
        <v>0</v>
      </c>
      <c r="C17" s="845"/>
      <c r="D17" s="845"/>
      <c r="E17" s="845"/>
      <c r="G17" s="395"/>
      <c r="H17" s="395"/>
      <c r="I17" s="395"/>
      <c r="J17" s="395"/>
      <c r="K17" s="821"/>
      <c r="L17" s="821"/>
    </row>
    <row r="18" spans="1:12" ht="30" customHeight="1" x14ac:dyDescent="0.25">
      <c r="A18" s="210" t="s">
        <v>468</v>
      </c>
      <c r="B18" s="868">
        <f>(I21-I24)/2</f>
        <v>142255.10204081633</v>
      </c>
      <c r="C18" s="869"/>
      <c r="D18" s="869"/>
      <c r="E18" s="869"/>
      <c r="G18" s="951" t="s">
        <v>872</v>
      </c>
      <c r="H18" s="951"/>
      <c r="I18" s="142">
        <f>B18/10*J10+K18</f>
        <v>97070.612244897959</v>
      </c>
      <c r="J18" s="143" t="s">
        <v>307</v>
      </c>
      <c r="K18" s="143">
        <f>G10*800</f>
        <v>80000</v>
      </c>
    </row>
    <row r="19" spans="1:12" ht="30" customHeight="1" x14ac:dyDescent="0.25">
      <c r="A19" s="238" t="s">
        <v>467</v>
      </c>
      <c r="B19" s="870"/>
      <c r="C19" s="871"/>
      <c r="D19" s="871"/>
      <c r="E19" s="871"/>
      <c r="G19" s="951" t="s">
        <v>303</v>
      </c>
      <c r="H19" s="951"/>
      <c r="I19" s="142">
        <f>B18*K10*M10/N10+K19</f>
        <v>10000</v>
      </c>
      <c r="J19" s="143" t="s">
        <v>307</v>
      </c>
      <c r="K19" s="143">
        <f>G10*100</f>
        <v>10000</v>
      </c>
    </row>
    <row r="20" spans="1:12" ht="30" customHeight="1" x14ac:dyDescent="0.25">
      <c r="A20" s="209" t="s">
        <v>8</v>
      </c>
      <c r="B20" s="859">
        <f>I18-I19</f>
        <v>87070.612244897959</v>
      </c>
      <c r="C20" s="859"/>
      <c r="D20" s="859"/>
      <c r="E20" s="859"/>
      <c r="G20" s="395"/>
      <c r="H20" s="395"/>
      <c r="I20" s="395"/>
      <c r="J20" s="395"/>
    </row>
    <row r="21" spans="1:12" ht="30" customHeight="1" x14ac:dyDescent="0.25">
      <c r="A21" s="209" t="s">
        <v>9</v>
      </c>
      <c r="B21" s="859"/>
      <c r="C21" s="859"/>
      <c r="D21" s="859"/>
      <c r="E21" s="859"/>
      <c r="G21" s="950" t="s">
        <v>873</v>
      </c>
      <c r="H21" s="950"/>
      <c r="I21" s="816">
        <f>H10*I10/I11*10*G10</f>
        <v>464700</v>
      </c>
      <c r="J21" s="143" t="s">
        <v>155</v>
      </c>
    </row>
    <row r="22" spans="1:12" ht="30" customHeight="1" x14ac:dyDescent="0.25">
      <c r="A22" s="209" t="s">
        <v>465</v>
      </c>
      <c r="B22" s="846">
        <f>(B16-J15*G10)/(B20+B21)</f>
        <v>2.2969862602719822</v>
      </c>
      <c r="C22" s="846"/>
      <c r="D22" s="846"/>
      <c r="E22" s="846"/>
      <c r="G22" s="950" t="s">
        <v>874</v>
      </c>
      <c r="H22" s="950"/>
      <c r="I22" s="144">
        <f>I21*M10</f>
        <v>176586</v>
      </c>
      <c r="J22" s="143" t="s">
        <v>155</v>
      </c>
    </row>
    <row r="23" spans="1:12" ht="30" customHeight="1" x14ac:dyDescent="0.25">
      <c r="A23" s="209" t="s">
        <v>466</v>
      </c>
      <c r="B23" s="956">
        <f>(B16-(J15*G10)-B17)/(B20+B21)</f>
        <v>2.2969862602719822</v>
      </c>
      <c r="C23" s="956"/>
      <c r="D23" s="956"/>
      <c r="E23" s="956"/>
      <c r="G23" s="950" t="s">
        <v>306</v>
      </c>
      <c r="H23" s="950"/>
      <c r="I23" s="144">
        <f>I22</f>
        <v>176586</v>
      </c>
      <c r="J23" s="143" t="s">
        <v>155</v>
      </c>
    </row>
    <row r="24" spans="1:12" ht="30" customHeight="1" x14ac:dyDescent="0.25">
      <c r="A24" s="211" t="s">
        <v>476</v>
      </c>
      <c r="B24" s="958">
        <f>((I21/1000*L10)-(I24/1000*O10))/2</f>
        <v>60.643349999999998</v>
      </c>
      <c r="C24" s="958"/>
      <c r="D24" s="958"/>
      <c r="E24" s="958"/>
      <c r="G24" s="950" t="s">
        <v>268</v>
      </c>
      <c r="H24" s="950"/>
      <c r="I24" s="144">
        <f>I23/N10</f>
        <v>180189.79591836734</v>
      </c>
      <c r="J24" s="143" t="s">
        <v>155</v>
      </c>
    </row>
    <row r="25" spans="1:12" ht="30" customHeight="1" x14ac:dyDescent="0.25">
      <c r="A25" s="212" t="s">
        <v>463</v>
      </c>
      <c r="B25" s="881">
        <f>B24/'Objectifs CO2'!C14</f>
        <v>0.29292167508415273</v>
      </c>
      <c r="C25" s="881"/>
      <c r="D25" s="881"/>
      <c r="E25" s="881"/>
    </row>
    <row r="26" spans="1:12" ht="30" customHeight="1" x14ac:dyDescent="0.25">
      <c r="A26" s="213" t="s">
        <v>464</v>
      </c>
      <c r="B26" s="881">
        <f>B24/'Objectifs CO2'!C8</f>
        <v>8.7876502525245804E-3</v>
      </c>
      <c r="C26" s="881"/>
      <c r="D26" s="881"/>
      <c r="E26" s="881"/>
    </row>
    <row r="27" spans="1:12" ht="30" customHeight="1" x14ac:dyDescent="0.25">
      <c r="A27" s="213" t="s">
        <v>24</v>
      </c>
      <c r="B27" s="874" t="s">
        <v>844</v>
      </c>
      <c r="C27" s="874"/>
      <c r="D27" s="874"/>
      <c r="E27" s="874"/>
    </row>
    <row r="28" spans="1:12" ht="30" customHeight="1" x14ac:dyDescent="0.25">
      <c r="A28" s="213" t="s">
        <v>418</v>
      </c>
      <c r="B28" s="853"/>
      <c r="C28" s="853"/>
      <c r="D28" s="853"/>
      <c r="E28" s="853"/>
    </row>
    <row r="30" spans="1:12" x14ac:dyDescent="0.25">
      <c r="B30" s="867" t="s">
        <v>530</v>
      </c>
      <c r="C30" s="867"/>
      <c r="D30" s="867"/>
      <c r="E30" s="143" t="s">
        <v>538</v>
      </c>
    </row>
    <row r="31" spans="1:12" x14ac:dyDescent="0.25">
      <c r="B31" s="864" t="s">
        <v>521</v>
      </c>
      <c r="C31" s="864"/>
      <c r="D31" s="864"/>
      <c r="E31" s="114"/>
      <c r="G31" s="866" t="s">
        <v>538</v>
      </c>
      <c r="H31" s="866"/>
      <c r="I31" s="866"/>
    </row>
    <row r="32" spans="1:12" x14ac:dyDescent="0.25">
      <c r="B32" s="864" t="s">
        <v>522</v>
      </c>
      <c r="C32" s="864"/>
      <c r="D32" s="864"/>
      <c r="E32" s="114"/>
      <c r="G32" s="252">
        <v>3</v>
      </c>
      <c r="H32" s="866" t="s">
        <v>535</v>
      </c>
      <c r="I32" s="866"/>
    </row>
    <row r="33" spans="2:9" x14ac:dyDescent="0.25">
      <c r="B33" s="864" t="s">
        <v>524</v>
      </c>
      <c r="C33" s="864"/>
      <c r="D33" s="864"/>
      <c r="E33" s="114"/>
      <c r="G33" s="252">
        <v>2</v>
      </c>
      <c r="H33" s="866" t="s">
        <v>536</v>
      </c>
      <c r="I33" s="866"/>
    </row>
    <row r="34" spans="2:9" x14ac:dyDescent="0.25">
      <c r="B34" s="864" t="s">
        <v>523</v>
      </c>
      <c r="C34" s="864"/>
      <c r="D34" s="864"/>
      <c r="E34" s="114"/>
      <c r="G34" s="252">
        <v>1</v>
      </c>
      <c r="H34" s="866" t="s">
        <v>537</v>
      </c>
      <c r="I34" s="866"/>
    </row>
    <row r="35" spans="2:9" x14ac:dyDescent="0.25">
      <c r="B35" s="864" t="s">
        <v>525</v>
      </c>
      <c r="C35" s="864"/>
      <c r="D35" s="864"/>
      <c r="E35" s="114"/>
    </row>
    <row r="36" spans="2:9" x14ac:dyDescent="0.25">
      <c r="B36" s="864" t="s">
        <v>526</v>
      </c>
      <c r="C36" s="864"/>
      <c r="D36" s="864"/>
      <c r="E36" s="114"/>
    </row>
    <row r="37" spans="2:9" x14ac:dyDescent="0.25">
      <c r="B37" s="864" t="s">
        <v>527</v>
      </c>
      <c r="C37" s="864"/>
      <c r="D37" s="864"/>
      <c r="E37" s="114"/>
    </row>
    <row r="38" spans="2:9" x14ac:dyDescent="0.25">
      <c r="B38" s="864" t="s">
        <v>528</v>
      </c>
      <c r="C38" s="864"/>
      <c r="D38" s="864"/>
      <c r="E38" s="114"/>
    </row>
    <row r="39" spans="2:9" x14ac:dyDescent="0.25">
      <c r="B39" s="864" t="s">
        <v>529</v>
      </c>
      <c r="C39" s="864"/>
      <c r="D39" s="864"/>
      <c r="E39" s="114"/>
      <c r="G39" s="863" t="s">
        <v>541</v>
      </c>
      <c r="H39" s="863"/>
      <c r="I39" s="863"/>
    </row>
    <row r="40" spans="2:9" x14ac:dyDescent="0.25">
      <c r="B40" s="865" t="s">
        <v>395</v>
      </c>
      <c r="C40" s="865"/>
      <c r="D40" s="865"/>
      <c r="E40" s="258">
        <f>SUM(E31:E39)</f>
        <v>0</v>
      </c>
      <c r="G40" s="254" t="s">
        <v>542</v>
      </c>
      <c r="H40" s="257" t="s">
        <v>543</v>
      </c>
      <c r="I40" s="254" t="s">
        <v>544</v>
      </c>
    </row>
    <row r="41" spans="2:9" x14ac:dyDescent="0.25">
      <c r="E41" s="202" t="s">
        <v>576</v>
      </c>
      <c r="G41" s="254" t="s">
        <v>545</v>
      </c>
      <c r="H41" s="254" t="s">
        <v>547</v>
      </c>
      <c r="I41" s="254" t="s">
        <v>546</v>
      </c>
    </row>
    <row r="43" spans="2:9" x14ac:dyDescent="0.25">
      <c r="B43" s="860" t="s">
        <v>520</v>
      </c>
      <c r="C43" s="861"/>
      <c r="D43" s="862"/>
      <c r="E43" s="251">
        <v>1</v>
      </c>
      <c r="G43" s="254">
        <v>1</v>
      </c>
      <c r="H43" s="254" t="s">
        <v>539</v>
      </c>
    </row>
    <row r="44" spans="2:9" x14ac:dyDescent="0.25">
      <c r="G44" s="254">
        <v>0</v>
      </c>
      <c r="H44" s="254" t="s">
        <v>540</v>
      </c>
    </row>
  </sheetData>
  <mergeCells count="56">
    <mergeCell ref="B12:E12"/>
    <mergeCell ref="A2:E2"/>
    <mergeCell ref="C4:D4"/>
    <mergeCell ref="G4:I4"/>
    <mergeCell ref="C5:D5"/>
    <mergeCell ref="G5:I5"/>
    <mergeCell ref="G6:I6"/>
    <mergeCell ref="B7:E7"/>
    <mergeCell ref="B8:E8"/>
    <mergeCell ref="B9:E9"/>
    <mergeCell ref="B10:E10"/>
    <mergeCell ref="B11:E11"/>
    <mergeCell ref="B13:E13"/>
    <mergeCell ref="H13:I14"/>
    <mergeCell ref="J13:K14"/>
    <mergeCell ref="B14:E14"/>
    <mergeCell ref="B15:E15"/>
    <mergeCell ref="H15:I16"/>
    <mergeCell ref="J15:K16"/>
    <mergeCell ref="B16:E16"/>
    <mergeCell ref="B23:E23"/>
    <mergeCell ref="G23:H23"/>
    <mergeCell ref="B17:E17"/>
    <mergeCell ref="K17:L17"/>
    <mergeCell ref="B18:E18"/>
    <mergeCell ref="G18:H18"/>
    <mergeCell ref="B19:E19"/>
    <mergeCell ref="G19:H19"/>
    <mergeCell ref="B20:E20"/>
    <mergeCell ref="B21:E21"/>
    <mergeCell ref="G21:H21"/>
    <mergeCell ref="B22:E22"/>
    <mergeCell ref="G22:H22"/>
    <mergeCell ref="B33:D33"/>
    <mergeCell ref="H33:I33"/>
    <mergeCell ref="B24:E24"/>
    <mergeCell ref="G24:H24"/>
    <mergeCell ref="B25:E25"/>
    <mergeCell ref="B26:E26"/>
    <mergeCell ref="B27:E27"/>
    <mergeCell ref="B28:E28"/>
    <mergeCell ref="B30:D30"/>
    <mergeCell ref="B31:D31"/>
    <mergeCell ref="G31:I31"/>
    <mergeCell ref="B32:D32"/>
    <mergeCell ref="H32:I32"/>
    <mergeCell ref="B39:D39"/>
    <mergeCell ref="G39:I39"/>
    <mergeCell ref="B40:D40"/>
    <mergeCell ref="B43:D43"/>
    <mergeCell ref="B34:D34"/>
    <mergeCell ref="H34:I34"/>
    <mergeCell ref="B35:D35"/>
    <mergeCell ref="B36:D36"/>
    <mergeCell ref="B37:D37"/>
    <mergeCell ref="B38:D38"/>
  </mergeCells>
  <conditionalFormatting sqref="E5">
    <cfRule type="containsText" dxfId="65" priority="1" operator="containsText" text="Terminé">
      <formula>NOT(ISERROR(SEARCH("Terminé",E5)))</formula>
    </cfRule>
    <cfRule type="containsText" dxfId="64" priority="2" operator="containsText" text="En cours">
      <formula>NOT(ISERROR(SEARCH("En cours",E5)))</formula>
    </cfRule>
    <cfRule type="containsText" dxfId="63"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CO2'!$U$3:$U$9</xm:f>
          </x14:formula1>
          <xm:sqref>C4:D4</xm:sqref>
        </x14:dataValidation>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s>
    </ext>
  </extLs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4"/>
  <sheetViews>
    <sheetView topLeftCell="B14" workbookViewId="0">
      <selection activeCell="B24" sqref="B24:E2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5" ht="21" x14ac:dyDescent="0.35">
      <c r="A1" s="11" t="s">
        <v>87</v>
      </c>
      <c r="B1" s="11"/>
      <c r="C1" s="11"/>
      <c r="D1" s="11"/>
      <c r="E1" s="11"/>
    </row>
    <row r="2" spans="1:15" ht="26.25" x14ac:dyDescent="0.4">
      <c r="A2" s="856" t="s">
        <v>913</v>
      </c>
      <c r="B2" s="856"/>
      <c r="C2" s="856"/>
      <c r="D2" s="856"/>
      <c r="E2" s="856"/>
    </row>
    <row r="3" spans="1:15" ht="27" thickBot="1" x14ac:dyDescent="0.45">
      <c r="A3" s="633"/>
      <c r="B3" s="633"/>
      <c r="C3" s="633"/>
      <c r="D3" s="633"/>
      <c r="E3" s="633"/>
    </row>
    <row r="4" spans="1:15" ht="15.75" thickBot="1" x14ac:dyDescent="0.3">
      <c r="A4" s="12"/>
      <c r="B4" s="233" t="s">
        <v>469</v>
      </c>
      <c r="C4" s="851" t="s">
        <v>37</v>
      </c>
      <c r="D4" s="852"/>
      <c r="E4" s="175" t="s">
        <v>998</v>
      </c>
      <c r="G4" s="848" t="s">
        <v>914</v>
      </c>
      <c r="H4" s="848"/>
      <c r="I4" s="848"/>
    </row>
    <row r="5" spans="1:15" ht="15.75" x14ac:dyDescent="0.25">
      <c r="A5" s="381" t="s">
        <v>651</v>
      </c>
      <c r="B5" s="382" t="s">
        <v>652</v>
      </c>
      <c r="C5" s="820" t="s">
        <v>18</v>
      </c>
      <c r="D5" s="820"/>
      <c r="E5" s="232" t="s">
        <v>19</v>
      </c>
      <c r="G5" s="848" t="s">
        <v>915</v>
      </c>
      <c r="H5" s="848"/>
      <c r="I5" s="848"/>
    </row>
    <row r="6" spans="1:15" ht="16.5" thickBot="1" x14ac:dyDescent="0.3">
      <c r="A6" s="379" t="s">
        <v>660</v>
      </c>
      <c r="B6" s="380" t="s">
        <v>658</v>
      </c>
      <c r="G6" s="850" t="s">
        <v>916</v>
      </c>
      <c r="H6" s="850"/>
      <c r="I6" s="850"/>
    </row>
    <row r="7" spans="1:15" ht="24" customHeight="1" thickBot="1" x14ac:dyDescent="0.3">
      <c r="A7" s="207" t="s">
        <v>1</v>
      </c>
      <c r="B7" s="820" t="s">
        <v>864</v>
      </c>
      <c r="C7" s="820"/>
      <c r="D7" s="820"/>
      <c r="E7" s="820"/>
    </row>
    <row r="8" spans="1:15" s="370" customFormat="1" ht="53.25" customHeight="1" thickBot="1" x14ac:dyDescent="0.3">
      <c r="A8" s="219" t="s">
        <v>0</v>
      </c>
      <c r="B8" s="820" t="s">
        <v>997</v>
      </c>
      <c r="C8" s="820"/>
      <c r="D8" s="820"/>
      <c r="E8" s="820"/>
    </row>
    <row r="9" spans="1:15" ht="30" x14ac:dyDescent="0.25">
      <c r="A9" s="208" t="s">
        <v>2</v>
      </c>
      <c r="B9" s="890"/>
      <c r="C9" s="889"/>
      <c r="D9" s="889"/>
      <c r="E9" s="889"/>
      <c r="G9" s="116" t="s">
        <v>296</v>
      </c>
      <c r="H9" s="117" t="s">
        <v>297</v>
      </c>
      <c r="I9" s="117" t="s">
        <v>139</v>
      </c>
      <c r="J9" s="117" t="s">
        <v>298</v>
      </c>
      <c r="K9" s="117" t="s">
        <v>877</v>
      </c>
      <c r="L9" s="117" t="s">
        <v>202</v>
      </c>
      <c r="M9" s="117" t="s">
        <v>876</v>
      </c>
      <c r="N9" s="117"/>
    </row>
    <row r="10" spans="1:15" ht="27" customHeight="1" x14ac:dyDescent="0.25">
      <c r="A10" s="208" t="s">
        <v>31</v>
      </c>
      <c r="B10" s="889"/>
      <c r="C10" s="889"/>
      <c r="D10" s="889"/>
      <c r="E10" s="889"/>
      <c r="G10" s="634">
        <v>50</v>
      </c>
      <c r="H10" s="636">
        <v>15490</v>
      </c>
      <c r="I10" s="636">
        <v>6</v>
      </c>
      <c r="J10" s="636">
        <v>1.6</v>
      </c>
      <c r="K10" s="636">
        <v>0.55000000000000004</v>
      </c>
      <c r="L10" s="636">
        <v>0.26100000000000001</v>
      </c>
      <c r="M10" s="139">
        <v>0.2029</v>
      </c>
      <c r="N10" s="636"/>
    </row>
    <row r="11" spans="1:15" ht="30" customHeight="1" x14ac:dyDescent="0.25">
      <c r="A11" s="209" t="s">
        <v>16</v>
      </c>
      <c r="B11" s="874" t="s">
        <v>512</v>
      </c>
      <c r="C11" s="874"/>
      <c r="D11" s="874"/>
      <c r="E11" s="874"/>
      <c r="G11" s="395"/>
      <c r="H11" s="395"/>
      <c r="I11" s="636">
        <v>100</v>
      </c>
      <c r="J11" s="395"/>
      <c r="K11" s="395"/>
      <c r="L11" s="395"/>
      <c r="M11" s="395"/>
      <c r="N11" s="395"/>
      <c r="O11" s="395"/>
    </row>
    <row r="12" spans="1:15" ht="30" customHeight="1" x14ac:dyDescent="0.25">
      <c r="A12" s="209" t="s">
        <v>3</v>
      </c>
      <c r="B12" s="874"/>
      <c r="C12" s="874"/>
      <c r="D12" s="874"/>
      <c r="E12" s="874"/>
    </row>
    <row r="13" spans="1:15" ht="30" customHeight="1" x14ac:dyDescent="0.25">
      <c r="A13" s="209" t="s">
        <v>17</v>
      </c>
      <c r="B13" s="874"/>
      <c r="C13" s="874"/>
      <c r="D13" s="874"/>
      <c r="E13" s="874"/>
      <c r="H13" s="955" t="s">
        <v>878</v>
      </c>
      <c r="I13" s="955"/>
      <c r="J13" s="955" t="s">
        <v>780</v>
      </c>
      <c r="K13" s="955"/>
    </row>
    <row r="14" spans="1:15" ht="30" customHeight="1" x14ac:dyDescent="0.25">
      <c r="A14" s="209" t="s">
        <v>4</v>
      </c>
      <c r="B14" s="874">
        <v>2018</v>
      </c>
      <c r="C14" s="874"/>
      <c r="D14" s="874"/>
      <c r="E14" s="874"/>
      <c r="G14" s="395"/>
      <c r="H14" s="955"/>
      <c r="I14" s="955"/>
      <c r="J14" s="955"/>
      <c r="K14" s="955"/>
      <c r="L14" s="322"/>
    </row>
    <row r="15" spans="1:15" ht="30" customHeight="1" x14ac:dyDescent="0.25">
      <c r="A15" s="209" t="s">
        <v>5</v>
      </c>
      <c r="B15" s="874">
        <v>2020</v>
      </c>
      <c r="C15" s="874"/>
      <c r="D15" s="874"/>
      <c r="E15" s="874"/>
      <c r="G15" s="395"/>
      <c r="H15" s="955">
        <v>22000</v>
      </c>
      <c r="I15" s="955"/>
      <c r="J15" s="955">
        <v>20000</v>
      </c>
      <c r="K15" s="955"/>
      <c r="L15" s="322"/>
    </row>
    <row r="16" spans="1:15" ht="30" customHeight="1" x14ac:dyDescent="0.25">
      <c r="A16" s="209" t="s">
        <v>6</v>
      </c>
      <c r="B16" s="845">
        <f>G10*H15</f>
        <v>1100000</v>
      </c>
      <c r="C16" s="845"/>
      <c r="D16" s="845"/>
      <c r="E16" s="845"/>
      <c r="G16" s="395"/>
      <c r="H16" s="955"/>
      <c r="I16" s="955"/>
      <c r="J16" s="955"/>
      <c r="K16" s="955"/>
      <c r="L16" s="322"/>
    </row>
    <row r="17" spans="1:12" ht="30" customHeight="1" x14ac:dyDescent="0.25">
      <c r="A17" s="209" t="s">
        <v>7</v>
      </c>
      <c r="B17" s="845"/>
      <c r="C17" s="845"/>
      <c r="D17" s="845"/>
      <c r="E17" s="845"/>
      <c r="G17" s="395"/>
      <c r="H17" s="395"/>
      <c r="I17" s="395"/>
      <c r="J17" s="395"/>
      <c r="K17" s="821"/>
      <c r="L17" s="821"/>
    </row>
    <row r="18" spans="1:12" ht="30" customHeight="1" x14ac:dyDescent="0.25">
      <c r="A18" s="210" t="s">
        <v>468</v>
      </c>
      <c r="B18" s="868">
        <v>0</v>
      </c>
      <c r="C18" s="869"/>
      <c r="D18" s="869"/>
      <c r="E18" s="869"/>
      <c r="G18" s="951" t="s">
        <v>302</v>
      </c>
      <c r="H18" s="951"/>
      <c r="I18" s="142">
        <f>B18/10*J10+K18</f>
        <v>40000</v>
      </c>
      <c r="J18" s="143" t="s">
        <v>307</v>
      </c>
      <c r="K18" s="143">
        <f>G10*800</f>
        <v>40000</v>
      </c>
    </row>
    <row r="19" spans="1:12" ht="30" customHeight="1" x14ac:dyDescent="0.25">
      <c r="A19" s="238" t="s">
        <v>467</v>
      </c>
      <c r="B19" s="870"/>
      <c r="C19" s="871"/>
      <c r="D19" s="871"/>
      <c r="E19" s="871"/>
      <c r="G19" s="951" t="s">
        <v>303</v>
      </c>
      <c r="H19" s="951"/>
      <c r="I19" s="142" t="e">
        <f>B18*K10*#REF!/N10+K19</f>
        <v>#REF!</v>
      </c>
      <c r="J19" s="143" t="s">
        <v>307</v>
      </c>
      <c r="K19" s="143">
        <f>G10*100</f>
        <v>5000</v>
      </c>
    </row>
    <row r="20" spans="1:12" ht="30" customHeight="1" x14ac:dyDescent="0.25">
      <c r="A20" s="209" t="s">
        <v>8</v>
      </c>
      <c r="B20" s="859">
        <f>G10*H10*I10/I11*J10-G10*H10*I10/I11*K10</f>
        <v>48793.5</v>
      </c>
      <c r="C20" s="859"/>
      <c r="D20" s="859"/>
      <c r="E20" s="859"/>
      <c r="G20" s="395"/>
      <c r="H20" s="395"/>
      <c r="I20" s="395"/>
      <c r="J20" s="395"/>
    </row>
    <row r="21" spans="1:12" ht="30" customHeight="1" x14ac:dyDescent="0.25">
      <c r="A21" s="209" t="s">
        <v>9</v>
      </c>
      <c r="B21" s="859"/>
      <c r="C21" s="859"/>
      <c r="D21" s="859"/>
      <c r="E21" s="859"/>
      <c r="G21" s="950" t="s">
        <v>304</v>
      </c>
      <c r="H21" s="950"/>
      <c r="I21" s="635">
        <f>H10*I10/I11*10*G10</f>
        <v>464700</v>
      </c>
      <c r="J21" s="143" t="s">
        <v>155</v>
      </c>
    </row>
    <row r="22" spans="1:12" ht="30" customHeight="1" x14ac:dyDescent="0.25">
      <c r="A22" s="209" t="s">
        <v>465</v>
      </c>
      <c r="B22" s="846">
        <f>(B16-J15*G10)/(B20+B21)</f>
        <v>2.0494533083300031</v>
      </c>
      <c r="C22" s="846"/>
      <c r="D22" s="846"/>
      <c r="E22" s="846"/>
      <c r="G22" s="950" t="s">
        <v>305</v>
      </c>
      <c r="H22" s="950"/>
      <c r="I22" s="144" t="e">
        <f>I21*#REF!</f>
        <v>#REF!</v>
      </c>
      <c r="J22" s="143" t="s">
        <v>155</v>
      </c>
    </row>
    <row r="23" spans="1:12" ht="30" customHeight="1" x14ac:dyDescent="0.25">
      <c r="A23" s="209" t="s">
        <v>466</v>
      </c>
      <c r="B23" s="956">
        <f>(B16-(J15*G10)-B17)/(B20+B21)</f>
        <v>2.0494533083300031</v>
      </c>
      <c r="C23" s="956"/>
      <c r="D23" s="956"/>
      <c r="E23" s="956"/>
      <c r="G23" s="950" t="s">
        <v>306</v>
      </c>
      <c r="H23" s="950"/>
      <c r="I23" s="144" t="e">
        <f>I22</f>
        <v>#REF!</v>
      </c>
      <c r="J23" s="143" t="s">
        <v>155</v>
      </c>
    </row>
    <row r="24" spans="1:12" ht="30" customHeight="1" x14ac:dyDescent="0.25">
      <c r="A24" s="211" t="s">
        <v>476</v>
      </c>
      <c r="B24" s="958">
        <f>G10*H10*I10/I11/100*L10-G10*H10*I10/I11/100*M10</f>
        <v>26.999070000000003</v>
      </c>
      <c r="C24" s="958"/>
      <c r="D24" s="958"/>
      <c r="E24" s="958"/>
      <c r="G24" s="950" t="s">
        <v>268</v>
      </c>
      <c r="H24" s="950"/>
      <c r="I24" s="144" t="e">
        <f>I23/N10</f>
        <v>#REF!</v>
      </c>
      <c r="J24" s="143" t="s">
        <v>155</v>
      </c>
    </row>
    <row r="25" spans="1:12" ht="30" customHeight="1" x14ac:dyDescent="0.25">
      <c r="A25" s="212" t="s">
        <v>463</v>
      </c>
      <c r="B25" s="881">
        <f>B24/'Objectifs CO2'!C14</f>
        <v>0.13041187220221667</v>
      </c>
      <c r="C25" s="881"/>
      <c r="D25" s="881"/>
      <c r="E25" s="881"/>
    </row>
    <row r="26" spans="1:12" ht="30" customHeight="1" x14ac:dyDescent="0.25">
      <c r="A26" s="213" t="s">
        <v>464</v>
      </c>
      <c r="B26" s="881">
        <f>B24/'Objectifs CO2'!C8</f>
        <v>3.9123561660664996E-3</v>
      </c>
      <c r="C26" s="881"/>
      <c r="D26" s="881"/>
      <c r="E26" s="881"/>
    </row>
    <row r="27" spans="1:12" ht="30" customHeight="1" x14ac:dyDescent="0.25">
      <c r="A27" s="213" t="s">
        <v>24</v>
      </c>
      <c r="B27" s="874" t="s">
        <v>844</v>
      </c>
      <c r="C27" s="874"/>
      <c r="D27" s="874"/>
      <c r="E27" s="874"/>
    </row>
    <row r="28" spans="1:12" ht="30" customHeight="1" x14ac:dyDescent="0.25">
      <c r="A28" s="213" t="s">
        <v>418</v>
      </c>
      <c r="B28" s="853"/>
      <c r="C28" s="853"/>
      <c r="D28" s="853"/>
      <c r="E28" s="853"/>
    </row>
    <row r="30" spans="1:12" x14ac:dyDescent="0.25">
      <c r="B30" s="867" t="s">
        <v>530</v>
      </c>
      <c r="C30" s="867"/>
      <c r="D30" s="867"/>
      <c r="E30" s="143" t="s">
        <v>538</v>
      </c>
    </row>
    <row r="31" spans="1:12" x14ac:dyDescent="0.25">
      <c r="B31" s="864" t="s">
        <v>521</v>
      </c>
      <c r="C31" s="864"/>
      <c r="D31" s="864"/>
      <c r="E31" s="114"/>
      <c r="G31" s="866" t="s">
        <v>538</v>
      </c>
      <c r="H31" s="866"/>
      <c r="I31" s="866"/>
    </row>
    <row r="32" spans="1:12" x14ac:dyDescent="0.25">
      <c r="B32" s="864" t="s">
        <v>522</v>
      </c>
      <c r="C32" s="864"/>
      <c r="D32" s="864"/>
      <c r="E32" s="114"/>
      <c r="G32" s="252">
        <v>3</v>
      </c>
      <c r="H32" s="866" t="s">
        <v>535</v>
      </c>
      <c r="I32" s="866"/>
    </row>
    <row r="33" spans="2:9" x14ac:dyDescent="0.25">
      <c r="B33" s="864" t="s">
        <v>524</v>
      </c>
      <c r="C33" s="864"/>
      <c r="D33" s="864"/>
      <c r="E33" s="114"/>
      <c r="G33" s="252">
        <v>2</v>
      </c>
      <c r="H33" s="866" t="s">
        <v>536</v>
      </c>
      <c r="I33" s="866"/>
    </row>
    <row r="34" spans="2:9" x14ac:dyDescent="0.25">
      <c r="B34" s="864" t="s">
        <v>523</v>
      </c>
      <c r="C34" s="864"/>
      <c r="D34" s="864"/>
      <c r="E34" s="114"/>
      <c r="G34" s="252">
        <v>1</v>
      </c>
      <c r="H34" s="866" t="s">
        <v>537</v>
      </c>
      <c r="I34" s="866"/>
    </row>
    <row r="35" spans="2:9" x14ac:dyDescent="0.25">
      <c r="B35" s="864" t="s">
        <v>525</v>
      </c>
      <c r="C35" s="864"/>
      <c r="D35" s="864"/>
      <c r="E35" s="114"/>
    </row>
    <row r="36" spans="2:9" x14ac:dyDescent="0.25">
      <c r="B36" s="864" t="s">
        <v>526</v>
      </c>
      <c r="C36" s="864"/>
      <c r="D36" s="864"/>
      <c r="E36" s="114"/>
    </row>
    <row r="37" spans="2:9" x14ac:dyDescent="0.25">
      <c r="B37" s="864" t="s">
        <v>527</v>
      </c>
      <c r="C37" s="864"/>
      <c r="D37" s="864"/>
      <c r="E37" s="114"/>
    </row>
    <row r="38" spans="2:9" x14ac:dyDescent="0.25">
      <c r="B38" s="864" t="s">
        <v>528</v>
      </c>
      <c r="C38" s="864"/>
      <c r="D38" s="864"/>
      <c r="E38" s="114"/>
    </row>
    <row r="39" spans="2:9" x14ac:dyDescent="0.25">
      <c r="B39" s="864" t="s">
        <v>529</v>
      </c>
      <c r="C39" s="864"/>
      <c r="D39" s="864"/>
      <c r="E39" s="114"/>
      <c r="G39" s="863" t="s">
        <v>541</v>
      </c>
      <c r="H39" s="863"/>
      <c r="I39" s="863"/>
    </row>
    <row r="40" spans="2:9" x14ac:dyDescent="0.25">
      <c r="B40" s="865" t="s">
        <v>395</v>
      </c>
      <c r="C40" s="865"/>
      <c r="D40" s="865"/>
      <c r="E40" s="258">
        <f>SUM(E31:E39)</f>
        <v>0</v>
      </c>
      <c r="G40" s="254" t="s">
        <v>542</v>
      </c>
      <c r="H40" s="257" t="s">
        <v>543</v>
      </c>
      <c r="I40" s="254" t="s">
        <v>544</v>
      </c>
    </row>
    <row r="41" spans="2:9" x14ac:dyDescent="0.25">
      <c r="E41" s="202" t="s">
        <v>576</v>
      </c>
      <c r="G41" s="254" t="s">
        <v>545</v>
      </c>
      <c r="H41" s="254" t="s">
        <v>547</v>
      </c>
      <c r="I41" s="254" t="s">
        <v>546</v>
      </c>
    </row>
    <row r="43" spans="2:9" x14ac:dyDescent="0.25">
      <c r="B43" s="860" t="s">
        <v>520</v>
      </c>
      <c r="C43" s="861"/>
      <c r="D43" s="862"/>
      <c r="E43" s="251">
        <v>1</v>
      </c>
      <c r="G43" s="254">
        <v>1</v>
      </c>
      <c r="H43" s="254" t="s">
        <v>539</v>
      </c>
    </row>
    <row r="44" spans="2:9" x14ac:dyDescent="0.25">
      <c r="G44" s="254">
        <v>0</v>
      </c>
      <c r="H44" s="254" t="s">
        <v>540</v>
      </c>
    </row>
  </sheetData>
  <mergeCells count="56">
    <mergeCell ref="B7:E7"/>
    <mergeCell ref="A2:E2"/>
    <mergeCell ref="G4:I4"/>
    <mergeCell ref="C5:D5"/>
    <mergeCell ref="G5:I5"/>
    <mergeCell ref="G6:I6"/>
    <mergeCell ref="B8:E8"/>
    <mergeCell ref="B9:E9"/>
    <mergeCell ref="B10:E10"/>
    <mergeCell ref="B11:E11"/>
    <mergeCell ref="B12:E12"/>
    <mergeCell ref="H13:I14"/>
    <mergeCell ref="J13:K14"/>
    <mergeCell ref="B14:E14"/>
    <mergeCell ref="B15:E15"/>
    <mergeCell ref="H15:I16"/>
    <mergeCell ref="J15:K16"/>
    <mergeCell ref="B16:E16"/>
    <mergeCell ref="B13:E13"/>
    <mergeCell ref="B23:E23"/>
    <mergeCell ref="G23:H23"/>
    <mergeCell ref="B17:E17"/>
    <mergeCell ref="K17:L17"/>
    <mergeCell ref="B18:E18"/>
    <mergeCell ref="G18:H18"/>
    <mergeCell ref="B19:E19"/>
    <mergeCell ref="G19:H19"/>
    <mergeCell ref="B20:E20"/>
    <mergeCell ref="B21:E21"/>
    <mergeCell ref="G21:H21"/>
    <mergeCell ref="B22:E22"/>
    <mergeCell ref="G22:H22"/>
    <mergeCell ref="B33:D33"/>
    <mergeCell ref="H33:I33"/>
    <mergeCell ref="B24:E24"/>
    <mergeCell ref="G24:H24"/>
    <mergeCell ref="B25:E25"/>
    <mergeCell ref="B26:E26"/>
    <mergeCell ref="B27:E27"/>
    <mergeCell ref="B28:E28"/>
    <mergeCell ref="B39:D39"/>
    <mergeCell ref="G39:I39"/>
    <mergeCell ref="B40:D40"/>
    <mergeCell ref="B43:D43"/>
    <mergeCell ref="C4:D4"/>
    <mergeCell ref="B34:D34"/>
    <mergeCell ref="H34:I34"/>
    <mergeCell ref="B35:D35"/>
    <mergeCell ref="B36:D36"/>
    <mergeCell ref="B37:D37"/>
    <mergeCell ref="B38:D38"/>
    <mergeCell ref="B30:D30"/>
    <mergeCell ref="B31:D31"/>
    <mergeCell ref="G31:I31"/>
    <mergeCell ref="B32:D32"/>
    <mergeCell ref="H32:I32"/>
  </mergeCells>
  <conditionalFormatting sqref="E5">
    <cfRule type="containsText" dxfId="62" priority="1" operator="containsText" text="Terminé">
      <formula>NOT(ISERROR(SEARCH("Terminé",E5)))</formula>
    </cfRule>
    <cfRule type="containsText" dxfId="61" priority="2" operator="containsText" text="En cours">
      <formula>NOT(ISERROR(SEARCH("En cours",E5)))</formula>
    </cfRule>
    <cfRule type="containsText" dxfId="60"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CO2'!$R$8:$R$15</xm:f>
          </x14:formula1>
          <xm:sqref>B5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CO2'!$P$8:$P$12</xm:f>
          </x14:formula1>
          <xm:sqref>E5</xm:sqref>
        </x14:dataValidation>
        <x14:dataValidation type="list" allowBlank="1" showInputMessage="1" showErrorMessage="1">
          <x14:formula1>
            <xm:f>'Objectifs CO2'!$U$3:$U$9</xm:f>
          </x14:formula1>
          <xm:sqref>C4:D4</xm:sqref>
        </x14:dataValidation>
      </x14:dataValidations>
    </ext>
  </extLs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44"/>
  <sheetViews>
    <sheetView topLeftCell="B4" zoomScaleNormal="100" zoomScaleSheetLayoutView="220"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9" ht="21" x14ac:dyDescent="0.35">
      <c r="A1" s="11" t="s">
        <v>87</v>
      </c>
      <c r="B1" s="11"/>
      <c r="C1" s="11"/>
      <c r="D1" s="11"/>
      <c r="E1" s="11"/>
    </row>
    <row r="2" spans="1:9" ht="26.25" x14ac:dyDescent="0.4">
      <c r="A2" s="856" t="s">
        <v>913</v>
      </c>
      <c r="B2" s="856"/>
      <c r="C2" s="856"/>
      <c r="D2" s="856"/>
      <c r="E2" s="856"/>
    </row>
    <row r="3" spans="1:9" ht="27" thickBot="1" x14ac:dyDescent="0.45">
      <c r="A3" s="633"/>
      <c r="B3" s="633"/>
      <c r="C3" s="633"/>
      <c r="D3" s="633"/>
      <c r="E3" s="633"/>
    </row>
    <row r="4" spans="1:9" ht="15.75" thickBot="1" x14ac:dyDescent="0.3">
      <c r="A4" s="12"/>
      <c r="B4" s="233" t="s">
        <v>469</v>
      </c>
      <c r="C4" s="851" t="s">
        <v>37</v>
      </c>
      <c r="D4" s="852"/>
      <c r="E4" s="175" t="s">
        <v>149</v>
      </c>
      <c r="G4" s="848" t="s">
        <v>914</v>
      </c>
      <c r="H4" s="848"/>
      <c r="I4" s="848"/>
    </row>
    <row r="5" spans="1:9" ht="15.75" x14ac:dyDescent="0.25">
      <c r="A5" s="381" t="s">
        <v>651</v>
      </c>
      <c r="B5" s="382" t="s">
        <v>654</v>
      </c>
      <c r="C5" s="820" t="s">
        <v>18</v>
      </c>
      <c r="D5" s="820"/>
      <c r="E5" s="232" t="s">
        <v>21</v>
      </c>
      <c r="G5" s="848" t="s">
        <v>915</v>
      </c>
      <c r="H5" s="848"/>
      <c r="I5" s="848"/>
    </row>
    <row r="6" spans="1:9" ht="16.5" thickBot="1" x14ac:dyDescent="0.3">
      <c r="A6" s="379" t="s">
        <v>660</v>
      </c>
      <c r="B6" s="380" t="s">
        <v>658</v>
      </c>
      <c r="G6" s="850" t="s">
        <v>916</v>
      </c>
      <c r="H6" s="850"/>
      <c r="I6" s="850"/>
    </row>
    <row r="7" spans="1:9" ht="24" customHeight="1" thickBot="1" x14ac:dyDescent="0.3">
      <c r="A7" s="207" t="s">
        <v>1</v>
      </c>
      <c r="B7" s="820" t="s">
        <v>37</v>
      </c>
      <c r="C7" s="820"/>
      <c r="D7" s="820"/>
      <c r="E7" s="820"/>
    </row>
    <row r="8" spans="1:9" ht="24" customHeight="1" thickBot="1" x14ac:dyDescent="0.3">
      <c r="A8" s="207" t="s">
        <v>0</v>
      </c>
      <c r="B8" s="820" t="s">
        <v>147</v>
      </c>
      <c r="C8" s="820"/>
      <c r="D8" s="820"/>
      <c r="E8" s="820"/>
    </row>
    <row r="9" spans="1:9" ht="43.5" customHeight="1" x14ac:dyDescent="0.25">
      <c r="A9" s="208" t="s">
        <v>2</v>
      </c>
      <c r="B9" s="890" t="s">
        <v>672</v>
      </c>
      <c r="C9" s="889"/>
      <c r="D9" s="889"/>
      <c r="E9" s="889"/>
    </row>
    <row r="10" spans="1:9" ht="15.75" x14ac:dyDescent="0.25">
      <c r="A10" s="208" t="s">
        <v>31</v>
      </c>
      <c r="B10" s="889"/>
      <c r="C10" s="889"/>
      <c r="D10" s="889"/>
      <c r="E10" s="889"/>
    </row>
    <row r="11" spans="1:9" ht="30" customHeight="1" x14ac:dyDescent="0.25">
      <c r="A11" s="209" t="s">
        <v>16</v>
      </c>
      <c r="B11" s="874" t="s">
        <v>86</v>
      </c>
      <c r="C11" s="874"/>
      <c r="D11" s="874"/>
      <c r="E11" s="874"/>
    </row>
    <row r="12" spans="1:9" ht="30" customHeight="1" x14ac:dyDescent="0.25">
      <c r="A12" s="209" t="s">
        <v>3</v>
      </c>
      <c r="B12" s="874"/>
      <c r="C12" s="874"/>
      <c r="D12" s="874"/>
      <c r="E12" s="874"/>
    </row>
    <row r="13" spans="1:9" ht="30" customHeight="1" x14ac:dyDescent="0.25">
      <c r="A13" s="209" t="s">
        <v>17</v>
      </c>
      <c r="B13" s="874"/>
      <c r="C13" s="874"/>
      <c r="D13" s="874"/>
      <c r="E13" s="874"/>
    </row>
    <row r="14" spans="1:9" ht="30" customHeight="1" x14ac:dyDescent="0.25">
      <c r="A14" s="209" t="s">
        <v>4</v>
      </c>
      <c r="B14" s="874">
        <v>2017</v>
      </c>
      <c r="C14" s="874"/>
      <c r="D14" s="874"/>
      <c r="E14" s="874"/>
    </row>
    <row r="15" spans="1:9" ht="30" customHeight="1" x14ac:dyDescent="0.25">
      <c r="A15" s="209" t="s">
        <v>5</v>
      </c>
      <c r="B15" s="874">
        <v>2020</v>
      </c>
      <c r="C15" s="874"/>
      <c r="D15" s="874"/>
      <c r="E15" s="874"/>
    </row>
    <row r="16" spans="1:9" ht="30" customHeight="1" x14ac:dyDescent="0.25">
      <c r="A16" s="209" t="s">
        <v>6</v>
      </c>
      <c r="B16" s="845">
        <v>20000</v>
      </c>
      <c r="C16" s="845"/>
      <c r="D16" s="845"/>
      <c r="E16" s="845"/>
    </row>
    <row r="17" spans="1:9" ht="30" customHeight="1" x14ac:dyDescent="0.25">
      <c r="A17" s="209" t="s">
        <v>7</v>
      </c>
      <c r="B17" s="845">
        <v>0</v>
      </c>
      <c r="C17" s="845"/>
      <c r="D17" s="845"/>
      <c r="E17" s="845"/>
    </row>
    <row r="18" spans="1:9" ht="30" customHeight="1" x14ac:dyDescent="0.25">
      <c r="A18" s="210" t="s">
        <v>468</v>
      </c>
      <c r="B18" s="868"/>
      <c r="C18" s="869"/>
      <c r="D18" s="869"/>
      <c r="E18" s="869"/>
      <c r="G18" s="2"/>
      <c r="H18" s="2"/>
    </row>
    <row r="19" spans="1:9" ht="30" customHeight="1" x14ac:dyDescent="0.25">
      <c r="A19" s="238" t="s">
        <v>467</v>
      </c>
      <c r="B19" s="870"/>
      <c r="C19" s="871"/>
      <c r="D19" s="871"/>
      <c r="E19" s="871"/>
      <c r="G19" s="2"/>
      <c r="H19" s="2"/>
    </row>
    <row r="20" spans="1:9" ht="30" customHeight="1" x14ac:dyDescent="0.25">
      <c r="A20" s="209" t="s">
        <v>8</v>
      </c>
      <c r="B20" s="845">
        <v>1</v>
      </c>
      <c r="C20" s="845"/>
      <c r="D20" s="845"/>
      <c r="E20" s="845"/>
    </row>
    <row r="21" spans="1:9" ht="30" customHeight="1" x14ac:dyDescent="0.25">
      <c r="A21" s="209" t="s">
        <v>9</v>
      </c>
      <c r="B21" s="845"/>
      <c r="C21" s="845"/>
      <c r="D21" s="845"/>
      <c r="E21" s="845"/>
    </row>
    <row r="22" spans="1:9" ht="30" customHeight="1" x14ac:dyDescent="0.25">
      <c r="A22" s="209" t="s">
        <v>465</v>
      </c>
      <c r="B22" s="846">
        <f>B16/(B20+B21)</f>
        <v>20000</v>
      </c>
      <c r="C22" s="846"/>
      <c r="D22" s="846"/>
      <c r="E22" s="846"/>
    </row>
    <row r="23" spans="1:9" ht="30" customHeight="1" x14ac:dyDescent="0.25">
      <c r="A23" s="209" t="s">
        <v>466</v>
      </c>
      <c r="B23" s="847">
        <f>(B16-B17)/(B20+B21)</f>
        <v>20000</v>
      </c>
      <c r="C23" s="847"/>
      <c r="D23" s="847"/>
      <c r="E23" s="847"/>
    </row>
    <row r="24" spans="1:9" ht="30" customHeight="1" x14ac:dyDescent="0.25">
      <c r="A24" s="211" t="s">
        <v>476</v>
      </c>
      <c r="B24" s="901">
        <f>B18/1000*G24</f>
        <v>0</v>
      </c>
      <c r="C24" s="901"/>
      <c r="D24" s="901"/>
      <c r="E24" s="901"/>
      <c r="G24" s="37">
        <v>0.26100000000000001</v>
      </c>
    </row>
    <row r="25" spans="1:9" ht="30" customHeight="1" x14ac:dyDescent="0.25">
      <c r="A25" s="212" t="s">
        <v>463</v>
      </c>
      <c r="B25" s="881">
        <f>B24/'[3]Objectifs CO2'!C14</f>
        <v>0</v>
      </c>
      <c r="C25" s="881"/>
      <c r="D25" s="881"/>
      <c r="E25" s="881"/>
    </row>
    <row r="26" spans="1:9" ht="30" customHeight="1" x14ac:dyDescent="0.25">
      <c r="A26" s="213" t="s">
        <v>464</v>
      </c>
      <c r="B26" s="881">
        <f>B24/'[3]Objectifs CO2'!C8</f>
        <v>0</v>
      </c>
      <c r="C26" s="881"/>
      <c r="D26" s="881"/>
      <c r="E26" s="881"/>
    </row>
    <row r="27" spans="1:9" ht="30" customHeight="1" x14ac:dyDescent="0.25">
      <c r="A27" s="213" t="s">
        <v>24</v>
      </c>
      <c r="B27" s="874" t="s">
        <v>844</v>
      </c>
      <c r="C27" s="874"/>
      <c r="D27" s="874"/>
      <c r="E27" s="874"/>
    </row>
    <row r="28" spans="1:9" ht="30" customHeight="1" x14ac:dyDescent="0.25">
      <c r="A28" s="213" t="s">
        <v>418</v>
      </c>
      <c r="B28" s="853"/>
      <c r="C28" s="853"/>
      <c r="D28" s="853"/>
      <c r="E28" s="853"/>
    </row>
    <row r="30" spans="1:9" x14ac:dyDescent="0.25">
      <c r="B30" s="867" t="s">
        <v>530</v>
      </c>
      <c r="C30" s="867"/>
      <c r="D30" s="867"/>
      <c r="E30" s="143" t="s">
        <v>538</v>
      </c>
    </row>
    <row r="31" spans="1:9" x14ac:dyDescent="0.25">
      <c r="B31" s="864" t="s">
        <v>521</v>
      </c>
      <c r="C31" s="864"/>
      <c r="D31" s="864"/>
      <c r="E31" s="114"/>
      <c r="G31" s="866" t="s">
        <v>538</v>
      </c>
      <c r="H31" s="866"/>
      <c r="I31" s="866"/>
    </row>
    <row r="32" spans="1:9" x14ac:dyDescent="0.25">
      <c r="B32" s="864" t="s">
        <v>522</v>
      </c>
      <c r="C32" s="864"/>
      <c r="D32" s="864"/>
      <c r="E32" s="114"/>
      <c r="G32" s="252">
        <v>3</v>
      </c>
      <c r="H32" s="866" t="s">
        <v>535</v>
      </c>
      <c r="I32" s="866"/>
    </row>
    <row r="33" spans="2:9" x14ac:dyDescent="0.25">
      <c r="B33" s="864" t="s">
        <v>524</v>
      </c>
      <c r="C33" s="864"/>
      <c r="D33" s="864"/>
      <c r="E33" s="114"/>
      <c r="G33" s="252">
        <v>2</v>
      </c>
      <c r="H33" s="866" t="s">
        <v>536</v>
      </c>
      <c r="I33" s="866"/>
    </row>
    <row r="34" spans="2:9" x14ac:dyDescent="0.25">
      <c r="B34" s="864" t="s">
        <v>523</v>
      </c>
      <c r="C34" s="864"/>
      <c r="D34" s="864"/>
      <c r="E34" s="114"/>
      <c r="G34" s="252">
        <v>1</v>
      </c>
      <c r="H34" s="866" t="s">
        <v>537</v>
      </c>
      <c r="I34" s="866"/>
    </row>
    <row r="35" spans="2:9" x14ac:dyDescent="0.25">
      <c r="B35" s="864" t="s">
        <v>525</v>
      </c>
      <c r="C35" s="864"/>
      <c r="D35" s="864"/>
      <c r="E35" s="114"/>
    </row>
    <row r="36" spans="2:9" x14ac:dyDescent="0.25">
      <c r="B36" s="864" t="s">
        <v>526</v>
      </c>
      <c r="C36" s="864"/>
      <c r="D36" s="864"/>
      <c r="E36" s="114"/>
    </row>
    <row r="37" spans="2:9" x14ac:dyDescent="0.25">
      <c r="B37" s="864" t="s">
        <v>527</v>
      </c>
      <c r="C37" s="864"/>
      <c r="D37" s="864"/>
      <c r="E37" s="114"/>
    </row>
    <row r="38" spans="2:9" x14ac:dyDescent="0.25">
      <c r="B38" s="864" t="s">
        <v>528</v>
      </c>
      <c r="C38" s="864"/>
      <c r="D38" s="864"/>
      <c r="E38" s="114"/>
    </row>
    <row r="39" spans="2:9" x14ac:dyDescent="0.25">
      <c r="B39" s="864" t="s">
        <v>529</v>
      </c>
      <c r="C39" s="864"/>
      <c r="D39" s="864"/>
      <c r="E39" s="114"/>
      <c r="G39" s="863" t="s">
        <v>541</v>
      </c>
      <c r="H39" s="863"/>
      <c r="I39" s="863"/>
    </row>
    <row r="40" spans="2:9" x14ac:dyDescent="0.25">
      <c r="B40" s="865" t="s">
        <v>395</v>
      </c>
      <c r="C40" s="865"/>
      <c r="D40" s="865"/>
      <c r="E40" s="258">
        <f>SUM(E31:E39)</f>
        <v>0</v>
      </c>
      <c r="G40" s="254" t="s">
        <v>542</v>
      </c>
      <c r="H40" s="257" t="s">
        <v>543</v>
      </c>
      <c r="I40" s="254" t="s">
        <v>544</v>
      </c>
    </row>
    <row r="41" spans="2:9" x14ac:dyDescent="0.25">
      <c r="E41" s="202" t="s">
        <v>576</v>
      </c>
      <c r="G41" s="254" t="s">
        <v>545</v>
      </c>
      <c r="H41" s="254" t="s">
        <v>547</v>
      </c>
      <c r="I41" s="254" t="s">
        <v>546</v>
      </c>
    </row>
    <row r="43" spans="2:9" x14ac:dyDescent="0.25">
      <c r="B43" s="860" t="s">
        <v>520</v>
      </c>
      <c r="C43" s="861"/>
      <c r="D43" s="862"/>
      <c r="E43" s="251">
        <v>1</v>
      </c>
      <c r="G43" s="254">
        <v>1</v>
      </c>
      <c r="H43" s="254" t="s">
        <v>539</v>
      </c>
    </row>
    <row r="44" spans="2:9" x14ac:dyDescent="0.25">
      <c r="G44" s="254">
        <v>0</v>
      </c>
      <c r="H44" s="254" t="s">
        <v>540</v>
      </c>
    </row>
  </sheetData>
  <mergeCells count="45">
    <mergeCell ref="G6:I6"/>
    <mergeCell ref="B26:E26"/>
    <mergeCell ref="B21:E21"/>
    <mergeCell ref="B22:E22"/>
    <mergeCell ref="B23:E23"/>
    <mergeCell ref="B24:E24"/>
    <mergeCell ref="B25:E25"/>
    <mergeCell ref="B16:E16"/>
    <mergeCell ref="B17:E17"/>
    <mergeCell ref="B18:E18"/>
    <mergeCell ref="B19:E19"/>
    <mergeCell ref="B20:E20"/>
    <mergeCell ref="B10:E10"/>
    <mergeCell ref="B11:E11"/>
    <mergeCell ref="B12:E12"/>
    <mergeCell ref="B13:E13"/>
    <mergeCell ref="B14:E14"/>
    <mergeCell ref="A2:E2"/>
    <mergeCell ref="C5:D5"/>
    <mergeCell ref="B7:E7"/>
    <mergeCell ref="B8:E8"/>
    <mergeCell ref="B9:E9"/>
    <mergeCell ref="C4:D4"/>
    <mergeCell ref="G31:I31"/>
    <mergeCell ref="B32:D32"/>
    <mergeCell ref="H32:I32"/>
    <mergeCell ref="B15:E15"/>
    <mergeCell ref="B28:E28"/>
    <mergeCell ref="B27:E27"/>
    <mergeCell ref="B43:D43"/>
    <mergeCell ref="G4:I4"/>
    <mergeCell ref="G5:I5"/>
    <mergeCell ref="G39:I39"/>
    <mergeCell ref="B36:D36"/>
    <mergeCell ref="B37:D37"/>
    <mergeCell ref="B38:D38"/>
    <mergeCell ref="B39:D39"/>
    <mergeCell ref="B40:D40"/>
    <mergeCell ref="B33:D33"/>
    <mergeCell ref="H33:I33"/>
    <mergeCell ref="B34:D34"/>
    <mergeCell ref="H34:I34"/>
    <mergeCell ref="B35:D35"/>
    <mergeCell ref="B30:D30"/>
    <mergeCell ref="B31:D31"/>
  </mergeCells>
  <conditionalFormatting sqref="E5">
    <cfRule type="containsText" dxfId="59" priority="1" operator="containsText" text="Terminé">
      <formula>NOT(ISERROR(SEARCH("Terminé",E5)))</formula>
    </cfRule>
    <cfRule type="containsText" dxfId="58" priority="2" operator="containsText" text="En cours">
      <formula>NOT(ISERROR(SEARCH("En cours",E5)))</formula>
    </cfRule>
    <cfRule type="containsText" dxfId="57"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pageSetup paperSize="9" scale="9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'[3]Objectifs CO2'!#REF!</xm:f>
          </x14:formula1>
          <xm:sqref>B5</xm:sqref>
        </x14:dataValidation>
        <x14:dataValidation type="list" allowBlank="1" showInputMessage="1" showErrorMessage="1">
          <x14:formula1>
            <xm:f>'[3]Objectifs CO2'!#REF!</xm:f>
          </x14:formula1>
          <xm:sqref>B6</xm:sqref>
        </x14:dataValidation>
        <x14:dataValidation type="list" allowBlank="1" showInputMessage="1" showErrorMessage="1">
          <x14:formula1>
            <xm:f>'[3]Objectifs CO2'!#REF!</xm:f>
          </x14:formula1>
          <xm:sqref>E5</xm:sqref>
        </x14:dataValidation>
        <x14:dataValidation type="list" allowBlank="1" showInputMessage="1" showErrorMessage="1">
          <x14:formula1>
            <xm:f>'Objectifs CO2'!$U$3:$U$9</xm:f>
          </x14:formula1>
          <xm:sqref>C4:D4</xm:sqref>
        </x14:dataValidation>
      </x14:dataValidations>
    </ext>
  </extLst>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4"/>
  <sheetViews>
    <sheetView topLeftCell="B4" zoomScaleNormal="100" zoomScaleSheetLayoutView="220"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2" ht="21" x14ac:dyDescent="0.35">
      <c r="A1" s="11" t="s">
        <v>87</v>
      </c>
      <c r="B1" s="11"/>
      <c r="C1" s="11"/>
      <c r="D1" s="11"/>
      <c r="E1" s="11"/>
    </row>
    <row r="2" spans="1:12" ht="26.25" x14ac:dyDescent="0.4">
      <c r="A2" s="856" t="s">
        <v>913</v>
      </c>
      <c r="B2" s="856"/>
      <c r="C2" s="856"/>
      <c r="D2" s="856"/>
      <c r="E2" s="856"/>
    </row>
    <row r="3" spans="1:12" ht="27" thickBot="1" x14ac:dyDescent="0.45">
      <c r="A3" s="633"/>
      <c r="B3" s="633"/>
      <c r="C3" s="633"/>
      <c r="D3" s="633"/>
      <c r="E3" s="633"/>
    </row>
    <row r="4" spans="1:12" ht="15.75" thickBot="1" x14ac:dyDescent="0.3">
      <c r="A4" s="12"/>
      <c r="B4" s="233" t="s">
        <v>469</v>
      </c>
      <c r="C4" s="851" t="s">
        <v>37</v>
      </c>
      <c r="D4" s="852"/>
      <c r="E4" s="175" t="s">
        <v>717</v>
      </c>
      <c r="G4" s="848" t="s">
        <v>914</v>
      </c>
      <c r="H4" s="848"/>
      <c r="I4" s="848"/>
    </row>
    <row r="5" spans="1:12" ht="15.75" x14ac:dyDescent="0.25">
      <c r="A5" s="381" t="s">
        <v>651</v>
      </c>
      <c r="B5" s="382" t="s">
        <v>659</v>
      </c>
      <c r="C5" s="820" t="s">
        <v>18</v>
      </c>
      <c r="D5" s="820"/>
      <c r="E5" s="232" t="s">
        <v>21</v>
      </c>
      <c r="G5" s="848" t="s">
        <v>915</v>
      </c>
      <c r="H5" s="848"/>
      <c r="I5" s="848"/>
    </row>
    <row r="6" spans="1:12" ht="16.5" thickBot="1" x14ac:dyDescent="0.3">
      <c r="A6" s="379" t="s">
        <v>660</v>
      </c>
      <c r="B6" s="380" t="s">
        <v>658</v>
      </c>
      <c r="C6" s="16"/>
      <c r="D6" s="16"/>
      <c r="E6" s="16"/>
      <c r="G6" s="850" t="s">
        <v>916</v>
      </c>
      <c r="H6" s="850"/>
      <c r="I6" s="850"/>
    </row>
    <row r="7" spans="1:12" ht="24" customHeight="1" thickBot="1" x14ac:dyDescent="0.3">
      <c r="A7" s="207" t="s">
        <v>1</v>
      </c>
      <c r="B7" s="820" t="s">
        <v>37</v>
      </c>
      <c r="C7" s="820"/>
      <c r="D7" s="820"/>
      <c r="E7" s="820"/>
    </row>
    <row r="8" spans="1:12" ht="24" customHeight="1" thickBot="1" x14ac:dyDescent="0.3">
      <c r="A8" s="207" t="s">
        <v>0</v>
      </c>
      <c r="B8" s="820" t="s">
        <v>718</v>
      </c>
      <c r="C8" s="820"/>
      <c r="D8" s="820"/>
      <c r="E8" s="820"/>
      <c r="I8" s="108"/>
    </row>
    <row r="9" spans="1:12" ht="30" x14ac:dyDescent="0.25">
      <c r="A9" s="208" t="s">
        <v>2</v>
      </c>
      <c r="B9" s="890" t="s">
        <v>811</v>
      </c>
      <c r="C9" s="889"/>
      <c r="D9" s="889"/>
      <c r="E9" s="889"/>
      <c r="G9" s="116" t="s">
        <v>318</v>
      </c>
      <c r="H9" s="116" t="s">
        <v>812</v>
      </c>
      <c r="I9" s="117" t="s">
        <v>813</v>
      </c>
      <c r="J9" s="117" t="s">
        <v>814</v>
      </c>
      <c r="K9" s="117"/>
      <c r="L9" s="117"/>
    </row>
    <row r="10" spans="1:12" ht="15.75" x14ac:dyDescent="0.25">
      <c r="A10" s="208" t="s">
        <v>31</v>
      </c>
      <c r="B10" s="889"/>
      <c r="C10" s="889"/>
      <c r="D10" s="889"/>
      <c r="E10" s="889"/>
      <c r="G10" s="116">
        <v>50</v>
      </c>
      <c r="H10" s="116">
        <v>2</v>
      </c>
      <c r="I10" s="117">
        <v>180</v>
      </c>
      <c r="J10" s="117">
        <v>6</v>
      </c>
      <c r="K10" s="117"/>
      <c r="L10" s="636"/>
    </row>
    <row r="11" spans="1:12" ht="30" customHeight="1" x14ac:dyDescent="0.25">
      <c r="A11" s="209" t="s">
        <v>16</v>
      </c>
      <c r="B11" s="874" t="s">
        <v>512</v>
      </c>
      <c r="C11" s="874"/>
      <c r="D11" s="874"/>
      <c r="E11" s="874"/>
      <c r="G11" s="395"/>
      <c r="H11" s="395"/>
      <c r="I11" s="636"/>
      <c r="J11" s="395"/>
      <c r="K11" s="395"/>
      <c r="L11" s="395"/>
    </row>
    <row r="12" spans="1:12" ht="30" customHeight="1" x14ac:dyDescent="0.25">
      <c r="A12" s="209" t="s">
        <v>3</v>
      </c>
      <c r="B12" s="874"/>
      <c r="C12" s="874"/>
      <c r="D12" s="874"/>
      <c r="E12" s="874"/>
      <c r="G12" s="395"/>
      <c r="H12" s="395"/>
      <c r="I12" s="395"/>
      <c r="J12" s="395"/>
      <c r="K12" s="395"/>
      <c r="L12" s="395"/>
    </row>
    <row r="13" spans="1:12" ht="30" customHeight="1" x14ac:dyDescent="0.25">
      <c r="A13" s="209" t="s">
        <v>17</v>
      </c>
      <c r="B13" s="874"/>
      <c r="C13" s="874"/>
      <c r="D13" s="874"/>
      <c r="E13" s="874"/>
      <c r="G13" s="395"/>
      <c r="H13" s="395"/>
      <c r="I13" s="395"/>
      <c r="J13" s="395"/>
      <c r="K13" s="395"/>
      <c r="L13" s="395"/>
    </row>
    <row r="14" spans="1:12" ht="30" customHeight="1" x14ac:dyDescent="0.25">
      <c r="A14" s="209" t="s">
        <v>4</v>
      </c>
      <c r="B14" s="874">
        <v>2015</v>
      </c>
      <c r="C14" s="874"/>
      <c r="D14" s="874"/>
      <c r="E14" s="874"/>
      <c r="G14" s="636" t="s">
        <v>815</v>
      </c>
      <c r="H14" s="636" t="s">
        <v>455</v>
      </c>
      <c r="I14" s="395"/>
      <c r="J14" s="395"/>
      <c r="K14" s="395"/>
      <c r="L14" s="395"/>
    </row>
    <row r="15" spans="1:12" ht="30" customHeight="1" x14ac:dyDescent="0.25">
      <c r="A15" s="209" t="s">
        <v>5</v>
      </c>
      <c r="B15" s="874">
        <v>2020</v>
      </c>
      <c r="C15" s="874"/>
      <c r="D15" s="874"/>
      <c r="E15" s="874"/>
      <c r="G15" s="636">
        <v>1.2</v>
      </c>
      <c r="H15" s="636">
        <v>0.26100000000000001</v>
      </c>
      <c r="I15" s="395"/>
      <c r="J15" s="395"/>
      <c r="K15" s="395"/>
      <c r="L15" s="395"/>
    </row>
    <row r="16" spans="1:12" ht="30" customHeight="1" x14ac:dyDescent="0.25">
      <c r="A16" s="209" t="s">
        <v>6</v>
      </c>
      <c r="B16" s="859">
        <v>0</v>
      </c>
      <c r="C16" s="859"/>
      <c r="D16" s="859"/>
      <c r="E16" s="859"/>
    </row>
    <row r="17" spans="1:9" ht="30" customHeight="1" x14ac:dyDescent="0.25">
      <c r="A17" s="209" t="s">
        <v>7</v>
      </c>
      <c r="B17" s="859">
        <v>0</v>
      </c>
      <c r="C17" s="859"/>
      <c r="D17" s="859"/>
      <c r="E17" s="859"/>
    </row>
    <row r="18" spans="1:9" ht="30" customHeight="1" x14ac:dyDescent="0.25">
      <c r="A18" s="210" t="s">
        <v>468</v>
      </c>
      <c r="B18" s="868">
        <f>G10*H10*I10*J10/100*10</f>
        <v>10800</v>
      </c>
      <c r="C18" s="869"/>
      <c r="D18" s="869"/>
      <c r="E18" s="869"/>
      <c r="G18" s="2"/>
      <c r="H18" s="2"/>
    </row>
    <row r="19" spans="1:9" ht="30" customHeight="1" x14ac:dyDescent="0.25">
      <c r="A19" s="238" t="s">
        <v>467</v>
      </c>
      <c r="B19" s="870"/>
      <c r="C19" s="871"/>
      <c r="D19" s="871"/>
      <c r="E19" s="871"/>
      <c r="G19" s="2"/>
      <c r="H19" s="2"/>
    </row>
    <row r="20" spans="1:9" ht="30" customHeight="1" x14ac:dyDescent="0.25">
      <c r="A20" s="209" t="s">
        <v>8</v>
      </c>
      <c r="B20" s="845">
        <v>1</v>
      </c>
      <c r="C20" s="845"/>
      <c r="D20" s="845"/>
      <c r="E20" s="845"/>
    </row>
    <row r="21" spans="1:9" ht="30" customHeight="1" x14ac:dyDescent="0.25">
      <c r="A21" s="209" t="s">
        <v>9</v>
      </c>
      <c r="B21" s="845"/>
      <c r="C21" s="845"/>
      <c r="D21" s="845"/>
      <c r="E21" s="845"/>
    </row>
    <row r="22" spans="1:9" ht="30" customHeight="1" x14ac:dyDescent="0.25">
      <c r="A22" s="209" t="s">
        <v>465</v>
      </c>
      <c r="B22" s="846">
        <f>B16/(B20+B21)</f>
        <v>0</v>
      </c>
      <c r="C22" s="846"/>
      <c r="D22" s="846"/>
      <c r="E22" s="846"/>
    </row>
    <row r="23" spans="1:9" ht="30" customHeight="1" x14ac:dyDescent="0.25">
      <c r="A23" s="209" t="s">
        <v>466</v>
      </c>
      <c r="B23" s="847">
        <f>(B16-B17)/(B20+B21)</f>
        <v>0</v>
      </c>
      <c r="C23" s="847"/>
      <c r="D23" s="847"/>
      <c r="E23" s="847"/>
    </row>
    <row r="24" spans="1:9" ht="30" customHeight="1" x14ac:dyDescent="0.25">
      <c r="A24" s="211" t="s">
        <v>476</v>
      </c>
      <c r="B24" s="901">
        <f>B18/1000*H15</f>
        <v>2.8188000000000004</v>
      </c>
      <c r="C24" s="901"/>
      <c r="D24" s="901"/>
      <c r="E24" s="901"/>
    </row>
    <row r="25" spans="1:9" ht="30" customHeight="1" x14ac:dyDescent="0.25">
      <c r="A25" s="212" t="s">
        <v>463</v>
      </c>
      <c r="B25" s="881">
        <f>B24/'[3]Objectifs CO2'!C14</f>
        <v>1.3825373002560256E-2</v>
      </c>
      <c r="C25" s="881"/>
      <c r="D25" s="881"/>
      <c r="E25" s="881"/>
    </row>
    <row r="26" spans="1:9" ht="30" customHeight="1" x14ac:dyDescent="0.25">
      <c r="A26" s="213" t="s">
        <v>464</v>
      </c>
      <c r="B26" s="881">
        <f>B24/'[3]Objectifs CO2'!C8</f>
        <v>4.1476119007680768E-4</v>
      </c>
      <c r="C26" s="881"/>
      <c r="D26" s="881"/>
      <c r="E26" s="881"/>
    </row>
    <row r="27" spans="1:9" ht="30" customHeight="1" x14ac:dyDescent="0.25">
      <c r="A27" s="213" t="s">
        <v>24</v>
      </c>
      <c r="B27" s="853" t="s">
        <v>10</v>
      </c>
      <c r="C27" s="853"/>
      <c r="D27" s="853"/>
      <c r="E27" s="853"/>
    </row>
    <row r="28" spans="1:9" ht="30" customHeight="1" x14ac:dyDescent="0.25">
      <c r="A28" s="213" t="s">
        <v>418</v>
      </c>
      <c r="B28" s="853"/>
      <c r="C28" s="853"/>
      <c r="D28" s="853"/>
      <c r="E28" s="853"/>
    </row>
    <row r="30" spans="1:9" x14ac:dyDescent="0.25">
      <c r="B30" s="867" t="s">
        <v>530</v>
      </c>
      <c r="C30" s="867"/>
      <c r="D30" s="867"/>
      <c r="E30" s="143" t="s">
        <v>538</v>
      </c>
    </row>
    <row r="31" spans="1:9" x14ac:dyDescent="0.25">
      <c r="B31" s="864" t="s">
        <v>521</v>
      </c>
      <c r="C31" s="864"/>
      <c r="D31" s="864"/>
      <c r="E31" s="114"/>
      <c r="G31" s="866" t="s">
        <v>538</v>
      </c>
      <c r="H31" s="866"/>
      <c r="I31" s="866"/>
    </row>
    <row r="32" spans="1:9" x14ac:dyDescent="0.25">
      <c r="B32" s="864" t="s">
        <v>522</v>
      </c>
      <c r="C32" s="864"/>
      <c r="D32" s="864"/>
      <c r="E32" s="114"/>
      <c r="G32" s="252">
        <v>3</v>
      </c>
      <c r="H32" s="866" t="s">
        <v>535</v>
      </c>
      <c r="I32" s="866"/>
    </row>
    <row r="33" spans="2:9" x14ac:dyDescent="0.25">
      <c r="B33" s="864" t="s">
        <v>524</v>
      </c>
      <c r="C33" s="864"/>
      <c r="D33" s="864"/>
      <c r="E33" s="114"/>
      <c r="G33" s="252">
        <v>2</v>
      </c>
      <c r="H33" s="866" t="s">
        <v>536</v>
      </c>
      <c r="I33" s="866"/>
    </row>
    <row r="34" spans="2:9" x14ac:dyDescent="0.25">
      <c r="B34" s="864" t="s">
        <v>523</v>
      </c>
      <c r="C34" s="864"/>
      <c r="D34" s="864"/>
      <c r="E34" s="114"/>
      <c r="G34" s="252">
        <v>1</v>
      </c>
      <c r="H34" s="866" t="s">
        <v>537</v>
      </c>
      <c r="I34" s="866"/>
    </row>
    <row r="35" spans="2:9" x14ac:dyDescent="0.25">
      <c r="B35" s="864" t="s">
        <v>525</v>
      </c>
      <c r="C35" s="864"/>
      <c r="D35" s="864"/>
      <c r="E35" s="114"/>
    </row>
    <row r="36" spans="2:9" x14ac:dyDescent="0.25">
      <c r="B36" s="864" t="s">
        <v>526</v>
      </c>
      <c r="C36" s="864"/>
      <c r="D36" s="864"/>
      <c r="E36" s="114"/>
    </row>
    <row r="37" spans="2:9" x14ac:dyDescent="0.25">
      <c r="B37" s="864" t="s">
        <v>527</v>
      </c>
      <c r="C37" s="864"/>
      <c r="D37" s="864"/>
      <c r="E37" s="114"/>
    </row>
    <row r="38" spans="2:9" x14ac:dyDescent="0.25">
      <c r="B38" s="864" t="s">
        <v>528</v>
      </c>
      <c r="C38" s="864"/>
      <c r="D38" s="864"/>
      <c r="E38" s="114"/>
    </row>
    <row r="39" spans="2:9" x14ac:dyDescent="0.25">
      <c r="B39" s="864" t="s">
        <v>529</v>
      </c>
      <c r="C39" s="864"/>
      <c r="D39" s="864"/>
      <c r="E39" s="114"/>
      <c r="G39" s="863" t="s">
        <v>541</v>
      </c>
      <c r="H39" s="863"/>
      <c r="I39" s="863"/>
    </row>
    <row r="40" spans="2:9" x14ac:dyDescent="0.25">
      <c r="B40" s="865" t="s">
        <v>395</v>
      </c>
      <c r="C40" s="865"/>
      <c r="D40" s="865"/>
      <c r="E40" s="258">
        <f>SUM(E31:E39)</f>
        <v>0</v>
      </c>
      <c r="G40" s="254" t="s">
        <v>542</v>
      </c>
      <c r="H40" s="257" t="s">
        <v>543</v>
      </c>
      <c r="I40" s="254" t="s">
        <v>544</v>
      </c>
    </row>
    <row r="41" spans="2:9" x14ac:dyDescent="0.25">
      <c r="E41" s="202" t="s">
        <v>576</v>
      </c>
      <c r="G41" s="254" t="s">
        <v>545</v>
      </c>
      <c r="H41" s="254" t="s">
        <v>547</v>
      </c>
      <c r="I41" s="254" t="s">
        <v>546</v>
      </c>
    </row>
    <row r="43" spans="2:9" x14ac:dyDescent="0.25">
      <c r="B43" s="860" t="s">
        <v>520</v>
      </c>
      <c r="C43" s="861"/>
      <c r="D43" s="862"/>
      <c r="E43" s="251">
        <v>1</v>
      </c>
      <c r="G43" s="254">
        <v>1</v>
      </c>
      <c r="H43" s="254" t="s">
        <v>539</v>
      </c>
    </row>
    <row r="44" spans="2:9" x14ac:dyDescent="0.25">
      <c r="G44" s="254">
        <v>0</v>
      </c>
      <c r="H44" s="254" t="s">
        <v>540</v>
      </c>
    </row>
  </sheetData>
  <mergeCells count="45">
    <mergeCell ref="B40:D40"/>
    <mergeCell ref="B43:D43"/>
    <mergeCell ref="B35:D35"/>
    <mergeCell ref="B36:D36"/>
    <mergeCell ref="B37:D37"/>
    <mergeCell ref="B38:D38"/>
    <mergeCell ref="B39:D39"/>
    <mergeCell ref="G39:I39"/>
    <mergeCell ref="B32:D32"/>
    <mergeCell ref="H32:I32"/>
    <mergeCell ref="B33:D33"/>
    <mergeCell ref="H33:I33"/>
    <mergeCell ref="B34:D34"/>
    <mergeCell ref="H34:I34"/>
    <mergeCell ref="G31:I31"/>
    <mergeCell ref="B20:E20"/>
    <mergeCell ref="B21:E21"/>
    <mergeCell ref="B22:E22"/>
    <mergeCell ref="B23:E23"/>
    <mergeCell ref="B24:E24"/>
    <mergeCell ref="B25:E25"/>
    <mergeCell ref="B26:E26"/>
    <mergeCell ref="B27:E27"/>
    <mergeCell ref="B28:E28"/>
    <mergeCell ref="B30:D30"/>
    <mergeCell ref="B31:D31"/>
    <mergeCell ref="B19:E19"/>
    <mergeCell ref="B8:E8"/>
    <mergeCell ref="B9:E9"/>
    <mergeCell ref="B10:E10"/>
    <mergeCell ref="B11:E11"/>
    <mergeCell ref="B12:E12"/>
    <mergeCell ref="B13:E13"/>
    <mergeCell ref="B14:E14"/>
    <mergeCell ref="B15:E15"/>
    <mergeCell ref="B16:E16"/>
    <mergeCell ref="B17:E17"/>
    <mergeCell ref="B18:E18"/>
    <mergeCell ref="B7:E7"/>
    <mergeCell ref="A2:E2"/>
    <mergeCell ref="G4:I4"/>
    <mergeCell ref="C5:D5"/>
    <mergeCell ref="G5:I5"/>
    <mergeCell ref="G6:I6"/>
    <mergeCell ref="C4:D4"/>
  </mergeCells>
  <conditionalFormatting sqref="E5">
    <cfRule type="containsText" dxfId="56" priority="1" operator="containsText" text="Terminé">
      <formula>NOT(ISERROR(SEARCH("Terminé",E5)))</formula>
    </cfRule>
    <cfRule type="containsText" dxfId="55" priority="2" operator="containsText" text="En cours">
      <formula>NOT(ISERROR(SEARCH("En cours",E5)))</formula>
    </cfRule>
    <cfRule type="containsText" dxfId="54"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pageSetup paperSize="9" scale="9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'[3]Objectifs CO2'!#REF!</xm:f>
          </x14:formula1>
          <xm:sqref>B5</xm:sqref>
        </x14:dataValidation>
        <x14:dataValidation type="list" allowBlank="1" showInputMessage="1" showErrorMessage="1">
          <x14:formula1>
            <xm:f>'[3]Objectifs CO2'!#REF!</xm:f>
          </x14:formula1>
          <xm:sqref>B6</xm:sqref>
        </x14:dataValidation>
        <x14:dataValidation type="list" allowBlank="1" showInputMessage="1" showErrorMessage="1">
          <x14:formula1>
            <xm:f>'[3]Objectifs CO2'!#REF!</xm:f>
          </x14:formula1>
          <xm:sqref>E5</xm:sqref>
        </x14:dataValidation>
        <x14:dataValidation type="list" allowBlank="1" showInputMessage="1" showErrorMessage="1">
          <x14:formula1>
            <xm:f>'Objectifs CO2'!$U$3:$U$9</xm:f>
          </x14:formula1>
          <xm:sqref>C4:D4</xm:sqref>
        </x14:dataValidation>
      </x14:dataValidations>
    </ext>
  </extLst>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4"/>
  <sheetViews>
    <sheetView topLeftCell="B1" zoomScaleNormal="100" zoomScaleSheetLayoutView="220" workbookViewId="0">
      <selection activeCell="G4" sqref="G4:I4"/>
    </sheetView>
  </sheetViews>
  <sheetFormatPr baseColWidth="10" defaultRowHeight="15" x14ac:dyDescent="0.25"/>
  <cols>
    <col min="1" max="1" width="29.42578125" style="37" customWidth="1"/>
    <col min="2" max="2" width="24.5703125" style="37" customWidth="1"/>
    <col min="3" max="3" width="19.7109375" style="37" customWidth="1"/>
    <col min="4" max="4" width="4.5703125" style="37" bestFit="1" customWidth="1"/>
    <col min="5" max="5" width="24" style="37" customWidth="1"/>
    <col min="6" max="6" width="1.140625" style="37" customWidth="1"/>
    <col min="7" max="16384" width="11.42578125" style="37"/>
  </cols>
  <sheetData>
    <row r="1" spans="1:12" ht="21" x14ac:dyDescent="0.35">
      <c r="A1" s="11" t="s">
        <v>87</v>
      </c>
      <c r="B1" s="11"/>
      <c r="C1" s="11"/>
      <c r="D1" s="11"/>
      <c r="E1" s="11"/>
    </row>
    <row r="2" spans="1:12" ht="26.25" x14ac:dyDescent="0.4">
      <c r="A2" s="856" t="s">
        <v>913</v>
      </c>
      <c r="B2" s="856"/>
      <c r="C2" s="856"/>
      <c r="D2" s="856"/>
      <c r="E2" s="856"/>
    </row>
    <row r="3" spans="1:12" ht="27" thickBot="1" x14ac:dyDescent="0.45">
      <c r="A3" s="107"/>
      <c r="B3" s="107"/>
      <c r="C3" s="107"/>
      <c r="D3" s="107"/>
      <c r="E3" s="107"/>
    </row>
    <row r="4" spans="1:12" ht="15.75" thickBot="1" x14ac:dyDescent="0.3">
      <c r="A4" s="12"/>
      <c r="B4" s="17" t="s">
        <v>26</v>
      </c>
      <c r="C4" s="851" t="s">
        <v>37</v>
      </c>
      <c r="D4" s="852"/>
      <c r="E4" s="175" t="s">
        <v>148</v>
      </c>
      <c r="G4" s="848" t="s">
        <v>914</v>
      </c>
      <c r="H4" s="848"/>
      <c r="I4" s="848"/>
    </row>
    <row r="5" spans="1:12" ht="15.75" x14ac:dyDescent="0.25">
      <c r="A5" s="381" t="s">
        <v>651</v>
      </c>
      <c r="B5" s="382" t="s">
        <v>50</v>
      </c>
      <c r="C5" s="966" t="s">
        <v>18</v>
      </c>
      <c r="D5" s="966"/>
      <c r="E5" s="232" t="s">
        <v>19</v>
      </c>
      <c r="G5" s="848" t="s">
        <v>915</v>
      </c>
      <c r="H5" s="848"/>
      <c r="I5" s="848"/>
    </row>
    <row r="6" spans="1:12" ht="16.5" thickBot="1" x14ac:dyDescent="0.3">
      <c r="A6" s="379" t="s">
        <v>660</v>
      </c>
      <c r="B6" s="380" t="s">
        <v>658</v>
      </c>
      <c r="G6" s="850" t="s">
        <v>916</v>
      </c>
      <c r="H6" s="850"/>
      <c r="I6" s="850"/>
    </row>
    <row r="7" spans="1:12" ht="15.75" thickBot="1" x14ac:dyDescent="0.3">
      <c r="A7" s="13" t="s">
        <v>1</v>
      </c>
      <c r="B7" s="967" t="s">
        <v>37</v>
      </c>
      <c r="C7" s="967"/>
      <c r="D7" s="967"/>
      <c r="E7" s="967"/>
    </row>
    <row r="8" spans="1:12" ht="15.75" customHeight="1" thickBot="1" x14ac:dyDescent="0.3">
      <c r="A8" s="13" t="s">
        <v>0</v>
      </c>
      <c r="B8" s="967" t="s">
        <v>150</v>
      </c>
      <c r="C8" s="967"/>
      <c r="D8" s="967"/>
      <c r="E8" s="967"/>
    </row>
    <row r="9" spans="1:12" ht="38.25" customHeight="1" x14ac:dyDescent="0.25">
      <c r="A9" s="14" t="s">
        <v>2</v>
      </c>
      <c r="B9" s="917" t="s">
        <v>853</v>
      </c>
      <c r="C9" s="968"/>
      <c r="D9" s="968"/>
      <c r="E9" s="969"/>
      <c r="G9" s="140" t="s">
        <v>318</v>
      </c>
      <c r="H9" s="141" t="s">
        <v>319</v>
      </c>
      <c r="I9" s="141" t="s">
        <v>320</v>
      </c>
      <c r="J9" s="141"/>
      <c r="K9" s="141" t="s">
        <v>321</v>
      </c>
      <c r="L9" s="141" t="s">
        <v>160</v>
      </c>
    </row>
    <row r="10" spans="1:12" ht="93.75" customHeight="1" x14ac:dyDescent="0.25">
      <c r="A10" s="14" t="s">
        <v>31</v>
      </c>
      <c r="B10" s="960" t="s">
        <v>854</v>
      </c>
      <c r="C10" s="961"/>
      <c r="D10" s="961"/>
      <c r="E10" s="961"/>
      <c r="G10" s="140">
        <v>250</v>
      </c>
      <c r="H10" s="141">
        <v>150</v>
      </c>
      <c r="I10" s="141">
        <v>4</v>
      </c>
      <c r="J10" s="141"/>
      <c r="K10" s="141">
        <v>1.6</v>
      </c>
      <c r="L10" s="141">
        <v>0.26100000000000001</v>
      </c>
    </row>
    <row r="11" spans="1:12" x14ac:dyDescent="0.25">
      <c r="A11" s="15" t="s">
        <v>16</v>
      </c>
      <c r="B11" s="959" t="s">
        <v>86</v>
      </c>
      <c r="C11" s="959"/>
      <c r="D11" s="959"/>
      <c r="E11" s="959"/>
    </row>
    <row r="12" spans="1:12" x14ac:dyDescent="0.25">
      <c r="A12" s="15" t="s">
        <v>3</v>
      </c>
      <c r="B12" s="959"/>
      <c r="C12" s="959"/>
      <c r="D12" s="959"/>
      <c r="E12" s="959"/>
    </row>
    <row r="13" spans="1:12" x14ac:dyDescent="0.25">
      <c r="A13" s="15" t="s">
        <v>17</v>
      </c>
      <c r="B13" s="959"/>
      <c r="C13" s="959"/>
      <c r="D13" s="959"/>
      <c r="E13" s="959"/>
      <c r="G13" s="140" t="s">
        <v>322</v>
      </c>
      <c r="H13" s="140" t="s">
        <v>323</v>
      </c>
      <c r="I13" s="145" t="s">
        <v>324</v>
      </c>
      <c r="J13" s="143"/>
      <c r="K13" s="143"/>
      <c r="L13" s="143"/>
    </row>
    <row r="14" spans="1:12" x14ac:dyDescent="0.25">
      <c r="A14" s="15" t="s">
        <v>4</v>
      </c>
      <c r="B14" s="959">
        <v>2016</v>
      </c>
      <c r="C14" s="959"/>
      <c r="D14" s="959"/>
      <c r="E14" s="959"/>
      <c r="G14" s="140">
        <v>1500</v>
      </c>
      <c r="H14" s="140">
        <v>250</v>
      </c>
      <c r="I14" s="145">
        <f>H10*I10*6/100*G10</f>
        <v>9000</v>
      </c>
      <c r="J14" s="143"/>
      <c r="K14" s="143"/>
      <c r="L14" s="143"/>
    </row>
    <row r="15" spans="1:12" x14ac:dyDescent="0.25">
      <c r="A15" s="15" t="s">
        <v>5</v>
      </c>
      <c r="B15" s="959">
        <v>2020</v>
      </c>
      <c r="C15" s="959"/>
      <c r="D15" s="959"/>
      <c r="E15" s="959"/>
    </row>
    <row r="16" spans="1:12" x14ac:dyDescent="0.25">
      <c r="A16" s="15" t="s">
        <v>6</v>
      </c>
      <c r="B16" s="963">
        <f>G14*H14</f>
        <v>375000</v>
      </c>
      <c r="C16" s="963"/>
      <c r="D16" s="963"/>
      <c r="E16" s="963"/>
    </row>
    <row r="17" spans="1:9" x14ac:dyDescent="0.25">
      <c r="A17" s="15" t="s">
        <v>7</v>
      </c>
      <c r="B17" s="973">
        <v>0</v>
      </c>
      <c r="C17" s="973"/>
      <c r="D17" s="973"/>
      <c r="E17" s="973"/>
    </row>
    <row r="18" spans="1:9" ht="30" x14ac:dyDescent="0.25">
      <c r="A18" s="199" t="s">
        <v>72</v>
      </c>
      <c r="B18" s="974">
        <f>I14*10</f>
        <v>90000</v>
      </c>
      <c r="C18" s="975"/>
      <c r="D18" s="975"/>
      <c r="E18" s="975"/>
      <c r="G18" s="2"/>
      <c r="H18" s="2"/>
    </row>
    <row r="19" spans="1:9" ht="30" x14ac:dyDescent="0.25">
      <c r="A19" s="239" t="s">
        <v>73</v>
      </c>
      <c r="B19" s="976">
        <f>G24*H24</f>
        <v>0</v>
      </c>
      <c r="C19" s="977"/>
      <c r="D19" s="977"/>
      <c r="E19" s="977"/>
      <c r="G19" s="2"/>
      <c r="H19" s="2"/>
    </row>
    <row r="20" spans="1:9" x14ac:dyDescent="0.25">
      <c r="A20" s="15" t="s">
        <v>8</v>
      </c>
      <c r="B20" s="845">
        <f>K10*I14</f>
        <v>14400</v>
      </c>
      <c r="C20" s="845"/>
      <c r="D20" s="845"/>
      <c r="E20" s="845"/>
    </row>
    <row r="21" spans="1:9" ht="30" x14ac:dyDescent="0.25">
      <c r="A21" s="15" t="s">
        <v>9</v>
      </c>
      <c r="B21" s="845"/>
      <c r="C21" s="845"/>
      <c r="D21" s="845"/>
      <c r="E21" s="845"/>
    </row>
    <row r="22" spans="1:9" ht="45" x14ac:dyDescent="0.25">
      <c r="A22" s="15" t="s">
        <v>14</v>
      </c>
      <c r="B22" s="965">
        <f>B16/(B20+B21)</f>
        <v>26.041666666666668</v>
      </c>
      <c r="C22" s="965"/>
      <c r="D22" s="965"/>
      <c r="E22" s="965"/>
    </row>
    <row r="23" spans="1:9" ht="45" x14ac:dyDescent="0.25">
      <c r="A23" s="15" t="s">
        <v>15</v>
      </c>
      <c r="B23" s="970">
        <f>(B16-B17)/(B20+B21)</f>
        <v>26.041666666666668</v>
      </c>
      <c r="C23" s="970"/>
      <c r="D23" s="970"/>
      <c r="E23" s="970"/>
    </row>
    <row r="24" spans="1:9" ht="30" x14ac:dyDescent="0.25">
      <c r="A24" s="200" t="s">
        <v>476</v>
      </c>
      <c r="B24" s="971">
        <f>B18*L10/1000</f>
        <v>23.49</v>
      </c>
      <c r="C24" s="971"/>
      <c r="D24" s="971"/>
      <c r="E24" s="971"/>
    </row>
    <row r="25" spans="1:9" ht="30" x14ac:dyDescent="0.25">
      <c r="A25" s="9" t="s">
        <v>34</v>
      </c>
      <c r="B25" s="972">
        <f>B24/'Objectifs CO2'!C14</f>
        <v>0.11346223695964598</v>
      </c>
      <c r="C25" s="972"/>
      <c r="D25" s="972"/>
      <c r="E25" s="972"/>
    </row>
    <row r="26" spans="1:9" ht="30" x14ac:dyDescent="0.25">
      <c r="A26" s="198" t="s">
        <v>33</v>
      </c>
      <c r="B26" s="972">
        <f>B24/'Objectifs CO2'!C8</f>
        <v>3.4038671087893791E-3</v>
      </c>
      <c r="C26" s="972"/>
      <c r="D26" s="972"/>
      <c r="E26" s="972"/>
    </row>
    <row r="27" spans="1:9" ht="30" x14ac:dyDescent="0.25">
      <c r="A27" s="198" t="s">
        <v>24</v>
      </c>
      <c r="B27" s="962"/>
      <c r="C27" s="962"/>
      <c r="D27" s="962"/>
      <c r="E27" s="962"/>
    </row>
    <row r="28" spans="1:9" x14ac:dyDescent="0.25">
      <c r="A28" s="198" t="s">
        <v>418</v>
      </c>
      <c r="B28" s="964"/>
      <c r="C28" s="964"/>
      <c r="D28" s="964"/>
      <c r="E28" s="253"/>
    </row>
    <row r="30" spans="1:9" x14ac:dyDescent="0.25">
      <c r="B30" s="867" t="s">
        <v>530</v>
      </c>
      <c r="C30" s="867"/>
      <c r="D30" s="867"/>
      <c r="E30" s="143" t="s">
        <v>538</v>
      </c>
    </row>
    <row r="31" spans="1:9" x14ac:dyDescent="0.25">
      <c r="B31" s="864" t="s">
        <v>521</v>
      </c>
      <c r="C31" s="864"/>
      <c r="D31" s="864"/>
      <c r="E31" s="114"/>
      <c r="G31" s="866" t="s">
        <v>538</v>
      </c>
      <c r="H31" s="866"/>
      <c r="I31" s="866"/>
    </row>
    <row r="32" spans="1:9" x14ac:dyDescent="0.25">
      <c r="B32" s="864" t="s">
        <v>522</v>
      </c>
      <c r="C32" s="864"/>
      <c r="D32" s="864"/>
      <c r="E32" s="114"/>
      <c r="G32" s="252">
        <v>3</v>
      </c>
      <c r="H32" s="866" t="s">
        <v>535</v>
      </c>
      <c r="I32" s="866"/>
    </row>
    <row r="33" spans="2:9" x14ac:dyDescent="0.25">
      <c r="B33" s="864" t="s">
        <v>524</v>
      </c>
      <c r="C33" s="864"/>
      <c r="D33" s="864"/>
      <c r="E33" s="114"/>
      <c r="G33" s="252">
        <v>2</v>
      </c>
      <c r="H33" s="866" t="s">
        <v>536</v>
      </c>
      <c r="I33" s="866"/>
    </row>
    <row r="34" spans="2:9" x14ac:dyDescent="0.25">
      <c r="B34" s="864" t="s">
        <v>523</v>
      </c>
      <c r="C34" s="864"/>
      <c r="D34" s="864"/>
      <c r="E34" s="114"/>
      <c r="G34" s="252">
        <v>1</v>
      </c>
      <c r="H34" s="866" t="s">
        <v>537</v>
      </c>
      <c r="I34" s="866"/>
    </row>
    <row r="35" spans="2:9" x14ac:dyDescent="0.25">
      <c r="B35" s="864" t="s">
        <v>525</v>
      </c>
      <c r="C35" s="864"/>
      <c r="D35" s="864"/>
      <c r="E35" s="114"/>
    </row>
    <row r="36" spans="2:9" x14ac:dyDescent="0.25">
      <c r="B36" s="864" t="s">
        <v>526</v>
      </c>
      <c r="C36" s="864"/>
      <c r="D36" s="864"/>
      <c r="E36" s="114"/>
    </row>
    <row r="37" spans="2:9" x14ac:dyDescent="0.25">
      <c r="B37" s="864" t="s">
        <v>527</v>
      </c>
      <c r="C37" s="864"/>
      <c r="D37" s="864"/>
      <c r="E37" s="114"/>
    </row>
    <row r="38" spans="2:9" x14ac:dyDescent="0.25">
      <c r="B38" s="864" t="s">
        <v>528</v>
      </c>
      <c r="C38" s="864"/>
      <c r="D38" s="864"/>
      <c r="E38" s="114"/>
    </row>
    <row r="39" spans="2:9" x14ac:dyDescent="0.25">
      <c r="B39" s="864" t="s">
        <v>529</v>
      </c>
      <c r="C39" s="864"/>
      <c r="D39" s="864"/>
      <c r="E39" s="114"/>
      <c r="G39" s="863" t="s">
        <v>541</v>
      </c>
      <c r="H39" s="863"/>
      <c r="I39" s="863"/>
    </row>
    <row r="40" spans="2:9" x14ac:dyDescent="0.25">
      <c r="B40" s="865" t="s">
        <v>395</v>
      </c>
      <c r="C40" s="865"/>
      <c r="D40" s="865"/>
      <c r="E40" s="258">
        <f>SUM(E31:E39)</f>
        <v>0</v>
      </c>
      <c r="G40" s="254" t="s">
        <v>542</v>
      </c>
      <c r="H40" s="257" t="s">
        <v>543</v>
      </c>
      <c r="I40" s="254" t="s">
        <v>544</v>
      </c>
    </row>
    <row r="41" spans="2:9" x14ac:dyDescent="0.25">
      <c r="E41" s="202" t="s">
        <v>576</v>
      </c>
      <c r="G41" s="254" t="s">
        <v>545</v>
      </c>
      <c r="H41" s="254" t="s">
        <v>547</v>
      </c>
      <c r="I41" s="254" t="s">
        <v>546</v>
      </c>
    </row>
    <row r="43" spans="2:9" x14ac:dyDescent="0.25">
      <c r="B43" s="860" t="s">
        <v>520</v>
      </c>
      <c r="C43" s="861"/>
      <c r="D43" s="862"/>
      <c r="E43" s="251">
        <v>1</v>
      </c>
      <c r="G43" s="254">
        <v>1</v>
      </c>
      <c r="H43" s="254" t="s">
        <v>539</v>
      </c>
    </row>
    <row r="44" spans="2:9" x14ac:dyDescent="0.25">
      <c r="G44" s="254">
        <v>0</v>
      </c>
      <c r="H44" s="254" t="s">
        <v>540</v>
      </c>
    </row>
  </sheetData>
  <mergeCells count="45">
    <mergeCell ref="B23:E23"/>
    <mergeCell ref="B24:E24"/>
    <mergeCell ref="B25:E25"/>
    <mergeCell ref="B26:E26"/>
    <mergeCell ref="B17:E17"/>
    <mergeCell ref="B18:E18"/>
    <mergeCell ref="B19:E19"/>
    <mergeCell ref="B20:E20"/>
    <mergeCell ref="B21:E21"/>
    <mergeCell ref="A2:E2"/>
    <mergeCell ref="C5:D5"/>
    <mergeCell ref="B7:E7"/>
    <mergeCell ref="B8:E8"/>
    <mergeCell ref="B9:E9"/>
    <mergeCell ref="C4:D4"/>
    <mergeCell ref="B43:D43"/>
    <mergeCell ref="H32:I32"/>
    <mergeCell ref="H33:I33"/>
    <mergeCell ref="H34:I34"/>
    <mergeCell ref="G31:I31"/>
    <mergeCell ref="B35:D35"/>
    <mergeCell ref="B36:D36"/>
    <mergeCell ref="B37:D37"/>
    <mergeCell ref="B38:D38"/>
    <mergeCell ref="B39:D39"/>
    <mergeCell ref="B31:D31"/>
    <mergeCell ref="B32:D32"/>
    <mergeCell ref="B33:D33"/>
    <mergeCell ref="B34:D34"/>
    <mergeCell ref="G4:I4"/>
    <mergeCell ref="G5:I5"/>
    <mergeCell ref="G39:I39"/>
    <mergeCell ref="B40:D40"/>
    <mergeCell ref="B30:D30"/>
    <mergeCell ref="B15:E15"/>
    <mergeCell ref="B10:E10"/>
    <mergeCell ref="B11:E11"/>
    <mergeCell ref="B12:E12"/>
    <mergeCell ref="B13:E13"/>
    <mergeCell ref="B14:E14"/>
    <mergeCell ref="B27:E27"/>
    <mergeCell ref="B16:E16"/>
    <mergeCell ref="G6:I6"/>
    <mergeCell ref="B28:D28"/>
    <mergeCell ref="B22:E22"/>
  </mergeCells>
  <conditionalFormatting sqref="E5">
    <cfRule type="containsText" dxfId="53" priority="1" operator="containsText" text="Terminé">
      <formula>NOT(ISERROR(SEARCH("Terminé",E5)))</formula>
    </cfRule>
    <cfRule type="containsText" dxfId="52" priority="2" operator="containsText" text="En cours">
      <formula>NOT(ISERROR(SEARCH("En cours",E5)))</formula>
    </cfRule>
    <cfRule type="containsText" dxfId="51"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pageSetup paperSize="9" scale="85" orientation="portrait" r:id="rId1"/>
  <colBreaks count="1" manualBreakCount="1">
    <brk id="5"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4"/>
  <sheetViews>
    <sheetView workbookViewId="0">
      <selection activeCell="G4" sqref="G4:I4"/>
    </sheetView>
  </sheetViews>
  <sheetFormatPr baseColWidth="10" defaultRowHeight="15" x14ac:dyDescent="0.25"/>
  <cols>
    <col min="1" max="1" width="29.42578125" style="37" customWidth="1"/>
    <col min="2" max="2" width="24.5703125" style="37" customWidth="1"/>
    <col min="3" max="3" width="19.7109375" style="37" customWidth="1"/>
    <col min="4" max="4" width="4.5703125" style="37" bestFit="1" customWidth="1"/>
    <col min="5" max="5" width="24" style="37" customWidth="1"/>
    <col min="6" max="6" width="1.140625" style="37" customWidth="1"/>
    <col min="7" max="16384" width="11.42578125" style="37"/>
  </cols>
  <sheetData>
    <row r="1" spans="1:12" ht="21" x14ac:dyDescent="0.35">
      <c r="A1" s="11" t="s">
        <v>87</v>
      </c>
      <c r="B1" s="11"/>
      <c r="C1" s="11"/>
      <c r="D1" s="11"/>
      <c r="E1" s="11"/>
    </row>
    <row r="2" spans="1:12" ht="26.25" x14ac:dyDescent="0.4">
      <c r="A2" s="856" t="s">
        <v>913</v>
      </c>
      <c r="B2" s="856"/>
      <c r="C2" s="856"/>
      <c r="D2" s="856"/>
      <c r="E2" s="856"/>
    </row>
    <row r="3" spans="1:12" ht="27" thickBot="1" x14ac:dyDescent="0.45">
      <c r="A3" s="633"/>
      <c r="B3" s="633"/>
      <c r="C3" s="633"/>
      <c r="D3" s="633"/>
      <c r="E3" s="633"/>
    </row>
    <row r="4" spans="1:12" ht="15.75" thickBot="1" x14ac:dyDescent="0.3">
      <c r="A4" s="12"/>
      <c r="B4" s="17" t="s">
        <v>26</v>
      </c>
      <c r="C4" s="851" t="s">
        <v>37</v>
      </c>
      <c r="D4" s="852"/>
      <c r="E4" s="175" t="s">
        <v>148</v>
      </c>
      <c r="G4" s="848" t="s">
        <v>914</v>
      </c>
      <c r="H4" s="848"/>
      <c r="I4" s="848"/>
    </row>
    <row r="5" spans="1:12" ht="15.75" x14ac:dyDescent="0.25">
      <c r="A5" s="381" t="s">
        <v>651</v>
      </c>
      <c r="B5" s="382" t="s">
        <v>50</v>
      </c>
      <c r="C5" s="966" t="s">
        <v>18</v>
      </c>
      <c r="D5" s="966"/>
      <c r="E5" s="232" t="s">
        <v>20</v>
      </c>
      <c r="G5" s="848" t="s">
        <v>915</v>
      </c>
      <c r="H5" s="848"/>
      <c r="I5" s="848"/>
    </row>
    <row r="6" spans="1:12" ht="16.5" thickBot="1" x14ac:dyDescent="0.3">
      <c r="A6" s="379" t="s">
        <v>660</v>
      </c>
      <c r="B6" s="380" t="s">
        <v>658</v>
      </c>
      <c r="G6" s="850" t="s">
        <v>916</v>
      </c>
      <c r="H6" s="850"/>
      <c r="I6" s="850"/>
    </row>
    <row r="7" spans="1:12" ht="15.75" thickBot="1" x14ac:dyDescent="0.3">
      <c r="A7" s="13" t="s">
        <v>1</v>
      </c>
      <c r="B7" s="967" t="s">
        <v>37</v>
      </c>
      <c r="C7" s="967"/>
      <c r="D7" s="967"/>
      <c r="E7" s="967"/>
    </row>
    <row r="8" spans="1:12" ht="15.75" customHeight="1" thickBot="1" x14ac:dyDescent="0.3">
      <c r="A8" s="13" t="s">
        <v>0</v>
      </c>
      <c r="B8" s="820" t="s">
        <v>931</v>
      </c>
      <c r="C8" s="820"/>
      <c r="D8" s="820"/>
      <c r="E8" s="820"/>
    </row>
    <row r="9" spans="1:12" ht="38.25" customHeight="1" x14ac:dyDescent="0.25">
      <c r="A9" s="14" t="s">
        <v>2</v>
      </c>
      <c r="B9" s="890" t="s">
        <v>932</v>
      </c>
      <c r="C9" s="889"/>
      <c r="D9" s="889"/>
      <c r="E9" s="889"/>
      <c r="G9" s="634" t="s">
        <v>934</v>
      </c>
      <c r="H9" s="636" t="s">
        <v>319</v>
      </c>
      <c r="I9" s="636" t="s">
        <v>320</v>
      </c>
      <c r="J9" s="636"/>
      <c r="K9" s="636" t="s">
        <v>321</v>
      </c>
      <c r="L9" s="636" t="s">
        <v>160</v>
      </c>
    </row>
    <row r="10" spans="1:12" ht="93.75" customHeight="1" x14ac:dyDescent="0.25">
      <c r="A10" s="14" t="s">
        <v>31</v>
      </c>
      <c r="B10" s="890" t="s">
        <v>933</v>
      </c>
      <c r="C10" s="889"/>
      <c r="D10" s="889"/>
      <c r="E10" s="889"/>
      <c r="G10" s="634">
        <v>100</v>
      </c>
      <c r="H10" s="636">
        <v>150</v>
      </c>
      <c r="I10" s="636">
        <v>10</v>
      </c>
      <c r="J10" s="636"/>
      <c r="K10" s="636">
        <v>1.6</v>
      </c>
      <c r="L10" s="636">
        <v>0.26100000000000001</v>
      </c>
    </row>
    <row r="11" spans="1:12" x14ac:dyDescent="0.25">
      <c r="A11" s="15" t="s">
        <v>16</v>
      </c>
      <c r="B11" s="874" t="s">
        <v>512</v>
      </c>
      <c r="C11" s="874"/>
      <c r="D11" s="874"/>
      <c r="E11" s="874"/>
    </row>
    <row r="12" spans="1:12" x14ac:dyDescent="0.25">
      <c r="A12" s="15" t="s">
        <v>3</v>
      </c>
      <c r="B12" s="874"/>
      <c r="C12" s="874"/>
      <c r="D12" s="874"/>
      <c r="E12" s="874"/>
    </row>
    <row r="13" spans="1:12" x14ac:dyDescent="0.25">
      <c r="A13" s="15" t="s">
        <v>17</v>
      </c>
      <c r="B13" s="874"/>
      <c r="C13" s="874"/>
      <c r="D13" s="874"/>
      <c r="E13" s="874"/>
      <c r="G13" s="634" t="s">
        <v>322</v>
      </c>
      <c r="H13" s="634" t="s">
        <v>323</v>
      </c>
      <c r="I13" s="145" t="s">
        <v>324</v>
      </c>
      <c r="J13" s="143"/>
      <c r="K13" s="143"/>
      <c r="L13" s="143"/>
    </row>
    <row r="14" spans="1:12" x14ac:dyDescent="0.25">
      <c r="A14" s="15" t="s">
        <v>4</v>
      </c>
      <c r="B14" s="874">
        <v>2016</v>
      </c>
      <c r="C14" s="874"/>
      <c r="D14" s="874"/>
      <c r="E14" s="874"/>
      <c r="G14" s="634">
        <v>1600</v>
      </c>
      <c r="H14" s="634">
        <v>100</v>
      </c>
      <c r="I14" s="145">
        <f>H10*I10*6/100*G10</f>
        <v>9000</v>
      </c>
      <c r="J14" s="143"/>
      <c r="K14" s="143"/>
      <c r="L14" s="143"/>
    </row>
    <row r="15" spans="1:12" x14ac:dyDescent="0.25">
      <c r="A15" s="15" t="s">
        <v>5</v>
      </c>
      <c r="B15" s="874">
        <v>2020</v>
      </c>
      <c r="C15" s="874"/>
      <c r="D15" s="874"/>
      <c r="E15" s="874"/>
    </row>
    <row r="16" spans="1:12" x14ac:dyDescent="0.25">
      <c r="A16" s="15" t="s">
        <v>6</v>
      </c>
      <c r="B16" s="845">
        <f>G14*H14</f>
        <v>160000</v>
      </c>
      <c r="C16" s="845"/>
      <c r="D16" s="845"/>
      <c r="E16" s="845"/>
    </row>
    <row r="17" spans="1:9" x14ac:dyDescent="0.25">
      <c r="A17" s="15" t="s">
        <v>7</v>
      </c>
      <c r="B17" s="845">
        <v>0</v>
      </c>
      <c r="C17" s="845"/>
      <c r="D17" s="845"/>
      <c r="E17" s="845"/>
    </row>
    <row r="18" spans="1:9" ht="30" x14ac:dyDescent="0.25">
      <c r="A18" s="199" t="s">
        <v>72</v>
      </c>
      <c r="B18" s="978">
        <f>I14*10</f>
        <v>90000</v>
      </c>
      <c r="C18" s="978"/>
      <c r="D18" s="978"/>
      <c r="E18" s="978"/>
      <c r="G18" s="2"/>
      <c r="H18" s="2"/>
    </row>
    <row r="19" spans="1:9" ht="30" x14ac:dyDescent="0.25">
      <c r="A19" s="239" t="s">
        <v>73</v>
      </c>
      <c r="B19" s="979">
        <f>G24*H24</f>
        <v>0</v>
      </c>
      <c r="C19" s="979"/>
      <c r="D19" s="979"/>
      <c r="E19" s="979"/>
      <c r="G19" s="2"/>
      <c r="H19" s="2"/>
    </row>
    <row r="20" spans="1:9" x14ac:dyDescent="0.25">
      <c r="A20" s="15" t="s">
        <v>8</v>
      </c>
      <c r="B20" s="845">
        <f>K10*I14</f>
        <v>14400</v>
      </c>
      <c r="C20" s="845"/>
      <c r="D20" s="845"/>
      <c r="E20" s="845"/>
    </row>
    <row r="21" spans="1:9" ht="30" x14ac:dyDescent="0.25">
      <c r="A21" s="15" t="s">
        <v>9</v>
      </c>
      <c r="B21" s="874"/>
      <c r="C21" s="874"/>
      <c r="D21" s="874"/>
      <c r="E21" s="874"/>
    </row>
    <row r="22" spans="1:9" ht="45" x14ac:dyDescent="0.25">
      <c r="A22" s="15" t="s">
        <v>14</v>
      </c>
      <c r="B22" s="846">
        <f>B16/(B20+B21)</f>
        <v>11.111111111111111</v>
      </c>
      <c r="C22" s="846"/>
      <c r="D22" s="846"/>
      <c r="E22" s="846"/>
    </row>
    <row r="23" spans="1:9" ht="45" x14ac:dyDescent="0.25">
      <c r="A23" s="15" t="s">
        <v>15</v>
      </c>
      <c r="B23" s="980">
        <f>(B16-B17)/(B20+B21)</f>
        <v>11.111111111111111</v>
      </c>
      <c r="C23" s="980"/>
      <c r="D23" s="980"/>
      <c r="E23" s="980"/>
    </row>
    <row r="24" spans="1:9" ht="30" x14ac:dyDescent="0.25">
      <c r="A24" s="200" t="s">
        <v>476</v>
      </c>
      <c r="B24" s="901">
        <f>B18*L10/1000</f>
        <v>23.49</v>
      </c>
      <c r="C24" s="901"/>
      <c r="D24" s="901"/>
      <c r="E24" s="901"/>
    </row>
    <row r="25" spans="1:9" ht="30" x14ac:dyDescent="0.25">
      <c r="A25" s="9" t="s">
        <v>34</v>
      </c>
      <c r="B25" s="972">
        <f>B24/'Objectifs CO2'!C14</f>
        <v>0.11346223695964598</v>
      </c>
      <c r="C25" s="972"/>
      <c r="D25" s="972"/>
      <c r="E25" s="972"/>
    </row>
    <row r="26" spans="1:9" ht="30" x14ac:dyDescent="0.25">
      <c r="A26" s="198" t="s">
        <v>33</v>
      </c>
      <c r="B26" s="972">
        <f>B24/'Objectifs CO2'!C8</f>
        <v>3.4038671087893791E-3</v>
      </c>
      <c r="C26" s="972"/>
      <c r="D26" s="972"/>
      <c r="E26" s="972"/>
    </row>
    <row r="27" spans="1:9" ht="30" x14ac:dyDescent="0.25">
      <c r="A27" s="198" t="s">
        <v>24</v>
      </c>
      <c r="B27" s="962"/>
      <c r="C27" s="962"/>
      <c r="D27" s="962"/>
      <c r="E27" s="962"/>
    </row>
    <row r="28" spans="1:9" x14ac:dyDescent="0.25">
      <c r="A28" s="198" t="s">
        <v>418</v>
      </c>
      <c r="B28" s="964"/>
      <c r="C28" s="964"/>
      <c r="D28" s="964"/>
      <c r="E28" s="253"/>
    </row>
    <row r="30" spans="1:9" x14ac:dyDescent="0.25">
      <c r="B30" s="867" t="s">
        <v>530</v>
      </c>
      <c r="C30" s="867"/>
      <c r="D30" s="867"/>
      <c r="E30" s="143" t="s">
        <v>538</v>
      </c>
    </row>
    <row r="31" spans="1:9" x14ac:dyDescent="0.25">
      <c r="B31" s="864" t="s">
        <v>521</v>
      </c>
      <c r="C31" s="864"/>
      <c r="D31" s="864"/>
      <c r="E31" s="114"/>
      <c r="G31" s="866" t="s">
        <v>538</v>
      </c>
      <c r="H31" s="866"/>
      <c r="I31" s="866"/>
    </row>
    <row r="32" spans="1:9" x14ac:dyDescent="0.25">
      <c r="B32" s="864" t="s">
        <v>522</v>
      </c>
      <c r="C32" s="864"/>
      <c r="D32" s="864"/>
      <c r="E32" s="114"/>
      <c r="G32" s="252">
        <v>3</v>
      </c>
      <c r="H32" s="866" t="s">
        <v>535</v>
      </c>
      <c r="I32" s="866"/>
    </row>
    <row r="33" spans="2:9" x14ac:dyDescent="0.25">
      <c r="B33" s="864" t="s">
        <v>524</v>
      </c>
      <c r="C33" s="864"/>
      <c r="D33" s="864"/>
      <c r="E33" s="114"/>
      <c r="G33" s="252">
        <v>2</v>
      </c>
      <c r="H33" s="866" t="s">
        <v>536</v>
      </c>
      <c r="I33" s="866"/>
    </row>
    <row r="34" spans="2:9" x14ac:dyDescent="0.25">
      <c r="B34" s="864" t="s">
        <v>523</v>
      </c>
      <c r="C34" s="864"/>
      <c r="D34" s="864"/>
      <c r="E34" s="114"/>
      <c r="G34" s="252">
        <v>1</v>
      </c>
      <c r="H34" s="866" t="s">
        <v>537</v>
      </c>
      <c r="I34" s="866"/>
    </row>
    <row r="35" spans="2:9" x14ac:dyDescent="0.25">
      <c r="B35" s="864" t="s">
        <v>525</v>
      </c>
      <c r="C35" s="864"/>
      <c r="D35" s="864"/>
      <c r="E35" s="114"/>
    </row>
    <row r="36" spans="2:9" x14ac:dyDescent="0.25">
      <c r="B36" s="864" t="s">
        <v>526</v>
      </c>
      <c r="C36" s="864"/>
      <c r="D36" s="864"/>
      <c r="E36" s="114"/>
    </row>
    <row r="37" spans="2:9" x14ac:dyDescent="0.25">
      <c r="B37" s="864" t="s">
        <v>527</v>
      </c>
      <c r="C37" s="864"/>
      <c r="D37" s="864"/>
      <c r="E37" s="114"/>
    </row>
    <row r="38" spans="2:9" x14ac:dyDescent="0.25">
      <c r="B38" s="864" t="s">
        <v>528</v>
      </c>
      <c r="C38" s="864"/>
      <c r="D38" s="864"/>
      <c r="E38" s="114"/>
    </row>
    <row r="39" spans="2:9" x14ac:dyDescent="0.25">
      <c r="B39" s="864" t="s">
        <v>529</v>
      </c>
      <c r="C39" s="864"/>
      <c r="D39" s="864"/>
      <c r="E39" s="114"/>
      <c r="G39" s="863" t="s">
        <v>541</v>
      </c>
      <c r="H39" s="863"/>
      <c r="I39" s="863"/>
    </row>
    <row r="40" spans="2:9" x14ac:dyDescent="0.25">
      <c r="B40" s="865" t="s">
        <v>395</v>
      </c>
      <c r="C40" s="865"/>
      <c r="D40" s="865"/>
      <c r="E40" s="258">
        <f>SUM(E31:E39)</f>
        <v>0</v>
      </c>
      <c r="G40" s="254" t="s">
        <v>542</v>
      </c>
      <c r="H40" s="257" t="s">
        <v>543</v>
      </c>
      <c r="I40" s="254" t="s">
        <v>544</v>
      </c>
    </row>
    <row r="41" spans="2:9" x14ac:dyDescent="0.25">
      <c r="E41" s="202" t="s">
        <v>576</v>
      </c>
      <c r="G41" s="254" t="s">
        <v>545</v>
      </c>
      <c r="H41" s="254" t="s">
        <v>547</v>
      </c>
      <c r="I41" s="254" t="s">
        <v>546</v>
      </c>
    </row>
    <row r="43" spans="2:9" x14ac:dyDescent="0.25">
      <c r="B43" s="860" t="s">
        <v>520</v>
      </c>
      <c r="C43" s="861"/>
      <c r="D43" s="862"/>
      <c r="E43" s="251">
        <v>1</v>
      </c>
      <c r="G43" s="254">
        <v>1</v>
      </c>
      <c r="H43" s="254" t="s">
        <v>539</v>
      </c>
    </row>
    <row r="44" spans="2:9" x14ac:dyDescent="0.25">
      <c r="G44" s="254">
        <v>0</v>
      </c>
      <c r="H44" s="254" t="s">
        <v>540</v>
      </c>
    </row>
  </sheetData>
  <mergeCells count="45">
    <mergeCell ref="B12:E12"/>
    <mergeCell ref="A2:E2"/>
    <mergeCell ref="C4:D4"/>
    <mergeCell ref="G4:I4"/>
    <mergeCell ref="C5:D5"/>
    <mergeCell ref="G5:I5"/>
    <mergeCell ref="G6:I6"/>
    <mergeCell ref="B7:E7"/>
    <mergeCell ref="B8:E8"/>
    <mergeCell ref="B9:E9"/>
    <mergeCell ref="B10:E10"/>
    <mergeCell ref="B11:E11"/>
    <mergeCell ref="B24:E24"/>
    <mergeCell ref="B13:E13"/>
    <mergeCell ref="B14:E14"/>
    <mergeCell ref="B15:E15"/>
    <mergeCell ref="B16:E16"/>
    <mergeCell ref="B17:E17"/>
    <mergeCell ref="B18:E18"/>
    <mergeCell ref="B19:E19"/>
    <mergeCell ref="B20:E20"/>
    <mergeCell ref="B21:E21"/>
    <mergeCell ref="B22:E22"/>
    <mergeCell ref="B23:E23"/>
    <mergeCell ref="B25:E25"/>
    <mergeCell ref="B26:E26"/>
    <mergeCell ref="B27:E27"/>
    <mergeCell ref="B28:D28"/>
    <mergeCell ref="B30:D30"/>
    <mergeCell ref="G39:I39"/>
    <mergeCell ref="G31:I31"/>
    <mergeCell ref="B32:D32"/>
    <mergeCell ref="H32:I32"/>
    <mergeCell ref="B33:D33"/>
    <mergeCell ref="H33:I33"/>
    <mergeCell ref="B34:D34"/>
    <mergeCell ref="H34:I34"/>
    <mergeCell ref="B31:D31"/>
    <mergeCell ref="B40:D40"/>
    <mergeCell ref="B43:D43"/>
    <mergeCell ref="B35:D35"/>
    <mergeCell ref="B36:D36"/>
    <mergeCell ref="B37:D37"/>
    <mergeCell ref="B38:D38"/>
    <mergeCell ref="B39:D39"/>
  </mergeCells>
  <conditionalFormatting sqref="E5">
    <cfRule type="containsText" dxfId="50" priority="1" operator="containsText" text="Terminé">
      <formula>NOT(ISERROR(SEARCH("Terminé",E5)))</formula>
    </cfRule>
    <cfRule type="containsText" dxfId="49" priority="2" operator="containsText" text="En cours">
      <formula>NOT(ISERROR(SEARCH("En cours",E5)))</formula>
    </cfRule>
    <cfRule type="containsText" dxfId="48"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CO2'!$U$3:$U$9</xm:f>
          </x14:formula1>
          <xm:sqref>C4:D4</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CO2'!$P$8:$P$12</xm:f>
          </x14:formula1>
          <xm:sqref>E5</xm:sqref>
        </x14:dataValidation>
      </x14:dataValidations>
    </ext>
  </extLst>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44"/>
  <sheetViews>
    <sheetView topLeftCell="B4" zoomScaleNormal="100" zoomScaleSheetLayoutView="220"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4" ht="21" x14ac:dyDescent="0.35">
      <c r="A1" s="11" t="s">
        <v>87</v>
      </c>
      <c r="B1" s="11"/>
      <c r="C1" s="11"/>
      <c r="D1" s="11"/>
      <c r="E1" s="11"/>
    </row>
    <row r="2" spans="1:14" ht="26.25" x14ac:dyDescent="0.4">
      <c r="A2" s="856" t="s">
        <v>913</v>
      </c>
      <c r="B2" s="856"/>
      <c r="C2" s="856"/>
      <c r="D2" s="856"/>
      <c r="E2" s="856"/>
    </row>
    <row r="3" spans="1:14" ht="27" thickBot="1" x14ac:dyDescent="0.45">
      <c r="A3" s="206"/>
      <c r="B3" s="206"/>
      <c r="C3" s="206"/>
      <c r="D3" s="206"/>
      <c r="E3" s="206"/>
    </row>
    <row r="4" spans="1:14" ht="24" customHeight="1" thickBot="1" x14ac:dyDescent="0.3">
      <c r="A4" s="12"/>
      <c r="B4" s="233" t="s">
        <v>469</v>
      </c>
      <c r="C4" s="851" t="s">
        <v>35</v>
      </c>
      <c r="D4" s="852"/>
      <c r="E4" s="175" t="s">
        <v>704</v>
      </c>
      <c r="G4" s="848" t="s">
        <v>914</v>
      </c>
      <c r="H4" s="848"/>
      <c r="I4" s="848"/>
    </row>
    <row r="5" spans="1:14" ht="24" customHeight="1" x14ac:dyDescent="0.25">
      <c r="A5" s="381" t="s">
        <v>651</v>
      </c>
      <c r="B5" s="382" t="s">
        <v>786</v>
      </c>
      <c r="C5" s="820" t="s">
        <v>18</v>
      </c>
      <c r="D5" s="820"/>
      <c r="E5" s="232" t="s">
        <v>20</v>
      </c>
      <c r="G5" s="848" t="s">
        <v>915</v>
      </c>
      <c r="H5" s="848"/>
      <c r="I5" s="848"/>
    </row>
    <row r="6" spans="1:14" ht="15.75" x14ac:dyDescent="0.25">
      <c r="A6" s="379" t="s">
        <v>660</v>
      </c>
      <c r="B6" s="380" t="s">
        <v>658</v>
      </c>
      <c r="G6" s="850" t="s">
        <v>916</v>
      </c>
      <c r="H6" s="850"/>
      <c r="I6" s="850"/>
    </row>
    <row r="7" spans="1:14" x14ac:dyDescent="0.25">
      <c r="A7" s="227" t="s">
        <v>1</v>
      </c>
      <c r="B7" s="820" t="s">
        <v>35</v>
      </c>
      <c r="C7" s="820"/>
      <c r="D7" s="820"/>
      <c r="E7" s="820"/>
    </row>
    <row r="8" spans="1:14" x14ac:dyDescent="0.25">
      <c r="A8" s="227" t="s">
        <v>0</v>
      </c>
      <c r="B8" s="820" t="s">
        <v>705</v>
      </c>
      <c r="C8" s="820"/>
      <c r="D8" s="820"/>
      <c r="E8" s="820"/>
    </row>
    <row r="9" spans="1:14" ht="30" x14ac:dyDescent="0.25">
      <c r="A9" s="227" t="s">
        <v>2</v>
      </c>
      <c r="B9" s="890" t="s">
        <v>732</v>
      </c>
      <c r="C9" s="889"/>
      <c r="D9" s="889"/>
      <c r="E9" s="889"/>
      <c r="G9" s="116" t="s">
        <v>602</v>
      </c>
      <c r="H9" s="116" t="s">
        <v>280</v>
      </c>
      <c r="I9" s="116" t="s">
        <v>201</v>
      </c>
      <c r="J9" s="116" t="s">
        <v>603</v>
      </c>
      <c r="K9" s="116" t="s">
        <v>223</v>
      </c>
      <c r="L9" s="116" t="s">
        <v>604</v>
      </c>
    </row>
    <row r="10" spans="1:14" ht="32.25" customHeight="1" x14ac:dyDescent="0.25">
      <c r="A10" s="227" t="s">
        <v>31</v>
      </c>
      <c r="B10" s="889" t="s">
        <v>771</v>
      </c>
      <c r="C10" s="889"/>
      <c r="D10" s="889"/>
      <c r="E10" s="889"/>
      <c r="G10" s="361">
        <v>8</v>
      </c>
      <c r="H10" s="361">
        <v>500</v>
      </c>
      <c r="I10" s="361">
        <v>0.86</v>
      </c>
      <c r="J10" s="361">
        <v>25000</v>
      </c>
      <c r="K10" s="361">
        <v>4500</v>
      </c>
      <c r="L10" s="361">
        <v>5.3</v>
      </c>
    </row>
    <row r="11" spans="1:14" ht="30" customHeight="1" x14ac:dyDescent="0.25">
      <c r="A11" s="227" t="s">
        <v>16</v>
      </c>
      <c r="B11" s="874" t="s">
        <v>512</v>
      </c>
      <c r="C11" s="874"/>
      <c r="D11" s="874"/>
      <c r="E11" s="874"/>
    </row>
    <row r="12" spans="1:14" ht="30" customHeight="1" x14ac:dyDescent="0.25">
      <c r="A12" s="227" t="s">
        <v>3</v>
      </c>
      <c r="B12" s="874"/>
      <c r="C12" s="874"/>
      <c r="D12" s="874"/>
      <c r="E12" s="874"/>
    </row>
    <row r="13" spans="1:14" ht="30" customHeight="1" x14ac:dyDescent="0.25">
      <c r="A13" s="227" t="s">
        <v>17</v>
      </c>
      <c r="B13" s="874"/>
      <c r="C13" s="874"/>
      <c r="D13" s="874"/>
      <c r="E13" s="874"/>
      <c r="G13" s="117" t="s">
        <v>282</v>
      </c>
      <c r="H13" s="117" t="s">
        <v>202</v>
      </c>
      <c r="I13" s="117" t="s">
        <v>203</v>
      </c>
      <c r="J13" s="117" t="s">
        <v>188</v>
      </c>
      <c r="K13" s="117" t="s">
        <v>605</v>
      </c>
      <c r="L13" s="117" t="s">
        <v>606</v>
      </c>
      <c r="M13" s="117" t="s">
        <v>607</v>
      </c>
      <c r="N13" s="367" t="s">
        <v>608</v>
      </c>
    </row>
    <row r="14" spans="1:14" ht="30" customHeight="1" x14ac:dyDescent="0.25">
      <c r="A14" s="227" t="s">
        <v>4</v>
      </c>
      <c r="B14" s="874">
        <v>2015</v>
      </c>
      <c r="C14" s="874"/>
      <c r="D14" s="874"/>
      <c r="E14" s="874"/>
      <c r="G14" s="135">
        <f>G10*H10*10</f>
        <v>40000</v>
      </c>
      <c r="H14" s="360">
        <v>0.26100000000000001</v>
      </c>
      <c r="I14" s="360">
        <v>1128</v>
      </c>
      <c r="J14" s="360">
        <v>16402</v>
      </c>
      <c r="K14" s="142">
        <f>H10*10/L10</f>
        <v>943.39622641509436</v>
      </c>
      <c r="L14" s="360">
        <v>8.5999999999999993E-2</v>
      </c>
      <c r="M14" s="360">
        <v>0.2</v>
      </c>
      <c r="N14" s="368">
        <v>1500</v>
      </c>
    </row>
    <row r="15" spans="1:14" ht="30" customHeight="1" x14ac:dyDescent="0.25">
      <c r="A15" s="227" t="s">
        <v>5</v>
      </c>
      <c r="B15" s="874">
        <v>2020</v>
      </c>
      <c r="C15" s="874"/>
      <c r="D15" s="874"/>
      <c r="E15" s="874"/>
    </row>
    <row r="16" spans="1:14" ht="30" customHeight="1" x14ac:dyDescent="0.25">
      <c r="A16" s="227" t="s">
        <v>6</v>
      </c>
      <c r="B16" s="845">
        <f>G10*J10</f>
        <v>200000</v>
      </c>
      <c r="C16" s="845"/>
      <c r="D16" s="845"/>
      <c r="E16" s="845"/>
    </row>
    <row r="17" spans="1:9" ht="30" customHeight="1" x14ac:dyDescent="0.25">
      <c r="A17" s="227" t="s">
        <v>7</v>
      </c>
      <c r="B17" s="845">
        <v>0</v>
      </c>
      <c r="C17" s="845"/>
      <c r="D17" s="845"/>
      <c r="E17" s="845"/>
      <c r="G17" s="362" t="s">
        <v>608</v>
      </c>
      <c r="H17" s="317">
        <v>1500</v>
      </c>
    </row>
    <row r="18" spans="1:9" ht="30" customHeight="1" x14ac:dyDescent="0.25">
      <c r="A18" s="318" t="s">
        <v>468</v>
      </c>
      <c r="B18" s="981"/>
      <c r="C18" s="982"/>
      <c r="D18" s="982"/>
      <c r="E18" s="982"/>
      <c r="G18" s="2"/>
    </row>
    <row r="19" spans="1:9" ht="30" customHeight="1" x14ac:dyDescent="0.25">
      <c r="A19" s="319" t="s">
        <v>467</v>
      </c>
      <c r="B19" s="983">
        <f>G10*H10*10/0.92-G10*H10*10/L10</f>
        <v>35931.091058244463</v>
      </c>
      <c r="C19" s="984"/>
      <c r="D19" s="984"/>
      <c r="E19" s="984"/>
      <c r="F19" s="2"/>
      <c r="G19" s="2"/>
    </row>
    <row r="20" spans="1:9" ht="30" customHeight="1" x14ac:dyDescent="0.25">
      <c r="A20" s="227" t="s">
        <v>8</v>
      </c>
      <c r="B20" s="931">
        <f>B19/10*I10-G10*H10*10/L10*M14</f>
        <v>1580.6398687448727</v>
      </c>
      <c r="C20" s="931"/>
      <c r="D20" s="931"/>
      <c r="E20" s="931"/>
    </row>
    <row r="21" spans="1:9" ht="30" customHeight="1" x14ac:dyDescent="0.25">
      <c r="A21" s="227" t="s">
        <v>9</v>
      </c>
      <c r="B21" s="845"/>
      <c r="C21" s="845"/>
      <c r="D21" s="845"/>
      <c r="E21" s="845"/>
    </row>
    <row r="22" spans="1:9" ht="30" customHeight="1" x14ac:dyDescent="0.25">
      <c r="A22" s="227" t="s">
        <v>465</v>
      </c>
      <c r="B22" s="846">
        <f>(B16-K10*G10)/(B20+B21)</f>
        <v>103.75544944986507</v>
      </c>
      <c r="C22" s="846"/>
      <c r="D22" s="846"/>
      <c r="E22" s="846"/>
    </row>
    <row r="23" spans="1:9" ht="30" customHeight="1" x14ac:dyDescent="0.25">
      <c r="A23" s="227" t="s">
        <v>466</v>
      </c>
      <c r="B23" s="925">
        <f>(B16-B17-K10*G10)/(B20+B21)</f>
        <v>103.75544944986507</v>
      </c>
      <c r="C23" s="925"/>
      <c r="D23" s="925"/>
      <c r="E23" s="925"/>
    </row>
    <row r="24" spans="1:9" ht="30" customHeight="1" x14ac:dyDescent="0.25">
      <c r="A24" s="229" t="s">
        <v>476</v>
      </c>
      <c r="B24" s="985">
        <f>B19/1000*H14</f>
        <v>9.3780147662018045</v>
      </c>
      <c r="C24" s="985"/>
      <c r="D24" s="985"/>
      <c r="E24" s="985"/>
    </row>
    <row r="25" spans="1:9" ht="30" customHeight="1" x14ac:dyDescent="0.25">
      <c r="A25" s="213" t="s">
        <v>463</v>
      </c>
      <c r="B25" s="986">
        <f>B24/'Objectifs CO2'!C12</f>
        <v>2.7178813119127666E-3</v>
      </c>
      <c r="C25" s="986"/>
      <c r="D25" s="986"/>
      <c r="E25" s="986"/>
    </row>
    <row r="26" spans="1:9" ht="30" customHeight="1" x14ac:dyDescent="0.25">
      <c r="A26" s="213" t="s">
        <v>464</v>
      </c>
      <c r="B26" s="986">
        <f>B24/'Objectifs CO2'!$C$4</f>
        <v>1.3589406559563833E-3</v>
      </c>
      <c r="C26" s="986"/>
      <c r="D26" s="986"/>
      <c r="E26" s="986"/>
    </row>
    <row r="27" spans="1:9" ht="30" customHeight="1" x14ac:dyDescent="0.25">
      <c r="A27" s="213" t="s">
        <v>24</v>
      </c>
      <c r="B27" s="987"/>
      <c r="C27" s="987"/>
      <c r="D27" s="987"/>
      <c r="E27" s="987"/>
    </row>
    <row r="28" spans="1:9" ht="30" customHeight="1" x14ac:dyDescent="0.25">
      <c r="A28" s="213" t="s">
        <v>418</v>
      </c>
      <c r="B28" s="853" t="s">
        <v>845</v>
      </c>
      <c r="C28" s="853"/>
      <c r="D28" s="853"/>
      <c r="E28" s="853"/>
    </row>
    <row r="30" spans="1:9" x14ac:dyDescent="0.25">
      <c r="B30" s="867" t="s">
        <v>530</v>
      </c>
      <c r="C30" s="867"/>
      <c r="D30" s="867"/>
      <c r="E30" s="143" t="s">
        <v>538</v>
      </c>
    </row>
    <row r="31" spans="1:9" x14ac:dyDescent="0.25">
      <c r="B31" s="864" t="s">
        <v>521</v>
      </c>
      <c r="C31" s="864"/>
      <c r="D31" s="864"/>
      <c r="E31" s="114"/>
      <c r="G31" s="866" t="s">
        <v>538</v>
      </c>
      <c r="H31" s="866"/>
      <c r="I31" s="866"/>
    </row>
    <row r="32" spans="1:9" x14ac:dyDescent="0.25">
      <c r="B32" s="864" t="s">
        <v>522</v>
      </c>
      <c r="C32" s="864"/>
      <c r="D32" s="864"/>
      <c r="E32" s="114"/>
      <c r="G32" s="252">
        <v>3</v>
      </c>
      <c r="H32" s="866" t="s">
        <v>535</v>
      </c>
      <c r="I32" s="866"/>
    </row>
    <row r="33" spans="2:9" x14ac:dyDescent="0.25">
      <c r="B33" s="864" t="s">
        <v>524</v>
      </c>
      <c r="C33" s="864"/>
      <c r="D33" s="864"/>
      <c r="E33" s="114"/>
      <c r="G33" s="252">
        <v>2</v>
      </c>
      <c r="H33" s="866" t="s">
        <v>536</v>
      </c>
      <c r="I33" s="866"/>
    </row>
    <row r="34" spans="2:9" x14ac:dyDescent="0.25">
      <c r="B34" s="864" t="s">
        <v>523</v>
      </c>
      <c r="C34" s="864"/>
      <c r="D34" s="864"/>
      <c r="E34" s="114"/>
      <c r="G34" s="252">
        <v>1</v>
      </c>
      <c r="H34" s="866" t="s">
        <v>537</v>
      </c>
      <c r="I34" s="866"/>
    </row>
    <row r="35" spans="2:9" x14ac:dyDescent="0.25">
      <c r="B35" s="864" t="s">
        <v>525</v>
      </c>
      <c r="C35" s="864"/>
      <c r="D35" s="864"/>
      <c r="E35" s="114"/>
    </row>
    <row r="36" spans="2:9" x14ac:dyDescent="0.25">
      <c r="B36" s="864" t="s">
        <v>526</v>
      </c>
      <c r="C36" s="864"/>
      <c r="D36" s="864"/>
      <c r="E36" s="114"/>
    </row>
    <row r="37" spans="2:9" x14ac:dyDescent="0.25">
      <c r="B37" s="864" t="s">
        <v>527</v>
      </c>
      <c r="C37" s="864"/>
      <c r="D37" s="864"/>
      <c r="E37" s="114"/>
    </row>
    <row r="38" spans="2:9" x14ac:dyDescent="0.25">
      <c r="B38" s="864" t="s">
        <v>528</v>
      </c>
      <c r="C38" s="864"/>
      <c r="D38" s="864"/>
      <c r="E38" s="114"/>
    </row>
    <row r="39" spans="2:9" x14ac:dyDescent="0.25">
      <c r="B39" s="864" t="s">
        <v>529</v>
      </c>
      <c r="C39" s="864"/>
      <c r="D39" s="864"/>
      <c r="E39" s="114"/>
      <c r="G39" s="863" t="s">
        <v>541</v>
      </c>
      <c r="H39" s="863"/>
      <c r="I39" s="863"/>
    </row>
    <row r="40" spans="2:9" x14ac:dyDescent="0.25">
      <c r="B40" s="865" t="s">
        <v>395</v>
      </c>
      <c r="C40" s="865"/>
      <c r="D40" s="865"/>
      <c r="E40" s="258">
        <f>SUM(E31:E39)</f>
        <v>0</v>
      </c>
      <c r="G40" s="254" t="s">
        <v>542</v>
      </c>
      <c r="H40" s="257" t="s">
        <v>543</v>
      </c>
      <c r="I40" s="254" t="s">
        <v>544</v>
      </c>
    </row>
    <row r="41" spans="2:9" x14ac:dyDescent="0.25">
      <c r="E41" s="202" t="s">
        <v>576</v>
      </c>
      <c r="G41" s="254" t="s">
        <v>545</v>
      </c>
      <c r="H41" s="254" t="s">
        <v>547</v>
      </c>
      <c r="I41" s="254" t="s">
        <v>546</v>
      </c>
    </row>
    <row r="43" spans="2:9" x14ac:dyDescent="0.25">
      <c r="B43" s="860" t="s">
        <v>520</v>
      </c>
      <c r="C43" s="861"/>
      <c r="D43" s="862"/>
      <c r="E43" s="251">
        <v>1</v>
      </c>
      <c r="G43" s="254">
        <v>1</v>
      </c>
      <c r="H43" s="254" t="s">
        <v>539</v>
      </c>
    </row>
    <row r="44" spans="2:9" x14ac:dyDescent="0.25">
      <c r="G44" s="254">
        <v>0</v>
      </c>
      <c r="H44" s="254" t="s">
        <v>540</v>
      </c>
    </row>
  </sheetData>
  <mergeCells count="45">
    <mergeCell ref="G6:I6"/>
    <mergeCell ref="B16:E16"/>
    <mergeCell ref="A2:E2"/>
    <mergeCell ref="C5:D5"/>
    <mergeCell ref="B7:E7"/>
    <mergeCell ref="B8:E8"/>
    <mergeCell ref="B9:E9"/>
    <mergeCell ref="B10:E10"/>
    <mergeCell ref="B11:E11"/>
    <mergeCell ref="B12:E12"/>
    <mergeCell ref="B13:E13"/>
    <mergeCell ref="B14:E14"/>
    <mergeCell ref="B15:E15"/>
    <mergeCell ref="C4:D4"/>
    <mergeCell ref="G31:I31"/>
    <mergeCell ref="B32:D32"/>
    <mergeCell ref="H32:I32"/>
    <mergeCell ref="B28:E28"/>
    <mergeCell ref="B17:E17"/>
    <mergeCell ref="B18:E18"/>
    <mergeCell ref="B19:E19"/>
    <mergeCell ref="B20:E20"/>
    <mergeCell ref="B21:E21"/>
    <mergeCell ref="B22:E22"/>
    <mergeCell ref="B23:E23"/>
    <mergeCell ref="B24:E24"/>
    <mergeCell ref="B25:E25"/>
    <mergeCell ref="B26:E26"/>
    <mergeCell ref="B27:E27"/>
    <mergeCell ref="B43:D43"/>
    <mergeCell ref="G4:I4"/>
    <mergeCell ref="G5:I5"/>
    <mergeCell ref="G39:I39"/>
    <mergeCell ref="B36:D36"/>
    <mergeCell ref="B37:D37"/>
    <mergeCell ref="B38:D38"/>
    <mergeCell ref="B39:D39"/>
    <mergeCell ref="B40:D40"/>
    <mergeCell ref="B33:D33"/>
    <mergeCell ref="H33:I33"/>
    <mergeCell ref="B34:D34"/>
    <mergeCell ref="H34:I34"/>
    <mergeCell ref="B35:D35"/>
    <mergeCell ref="B30:D30"/>
    <mergeCell ref="B31:D31"/>
  </mergeCells>
  <conditionalFormatting sqref="E5">
    <cfRule type="containsText" dxfId="47" priority="1" operator="containsText" text="Terminé">
      <formula>NOT(ISERROR(SEARCH("Terminé",E5)))</formula>
    </cfRule>
    <cfRule type="containsText" dxfId="46" priority="2" operator="containsText" text="En cours">
      <formula>NOT(ISERROR(SEARCH("En cours",E5)))</formula>
    </cfRule>
    <cfRule type="containsText" dxfId="45"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pageSetup paperSize="9" scale="9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8"/>
  <sheetViews>
    <sheetView zoomScaleNormal="100" zoomScaleSheetLayoutView="140" workbookViewId="0">
      <selection activeCell="G4" sqref="G4:I4"/>
    </sheetView>
  </sheetViews>
  <sheetFormatPr baseColWidth="10" defaultRowHeight="15" x14ac:dyDescent="0.25"/>
  <cols>
    <col min="1" max="1" width="40.7109375" style="39" customWidth="1"/>
    <col min="2" max="2" width="16.7109375" style="39" customWidth="1"/>
    <col min="3" max="3" width="17.140625" style="39" customWidth="1"/>
    <col min="4" max="4" width="5.5703125" style="39" bestFit="1" customWidth="1"/>
    <col min="5" max="5" width="17.42578125" style="39" customWidth="1"/>
    <col min="6" max="6" width="1.42578125" style="39" customWidth="1"/>
    <col min="7" max="16384" width="11.42578125" style="39"/>
  </cols>
  <sheetData>
    <row r="1" spans="1:9" ht="21" customHeight="1" x14ac:dyDescent="0.35">
      <c r="A1" s="373" t="s">
        <v>87</v>
      </c>
      <c r="B1" s="371"/>
      <c r="C1" s="371"/>
      <c r="D1" s="372"/>
      <c r="E1" s="11"/>
    </row>
    <row r="2" spans="1:9" ht="26.25" x14ac:dyDescent="0.4">
      <c r="A2" s="856" t="s">
        <v>913</v>
      </c>
      <c r="B2" s="856"/>
      <c r="C2" s="856"/>
      <c r="D2" s="856"/>
      <c r="E2" s="856"/>
    </row>
    <row r="3" spans="1:9" ht="27" thickBot="1" x14ac:dyDescent="0.45">
      <c r="A3" s="40"/>
      <c r="B3" s="40"/>
      <c r="C3" s="40"/>
      <c r="D3" s="40"/>
      <c r="E3" s="40"/>
    </row>
    <row r="4" spans="1:9" ht="15.75" thickBot="1" x14ac:dyDescent="0.3">
      <c r="A4" s="76"/>
      <c r="B4" s="234" t="s">
        <v>469</v>
      </c>
      <c r="C4" s="851" t="s">
        <v>611</v>
      </c>
      <c r="D4" s="852"/>
      <c r="E4" s="174" t="s">
        <v>181</v>
      </c>
      <c r="G4" s="848" t="s">
        <v>914</v>
      </c>
      <c r="H4" s="848"/>
      <c r="I4" s="848"/>
    </row>
    <row r="5" spans="1:9" ht="18.75" customHeight="1" x14ac:dyDescent="0.25">
      <c r="A5" s="381" t="s">
        <v>651</v>
      </c>
      <c r="B5" s="382" t="s">
        <v>50</v>
      </c>
      <c r="C5" s="857" t="s">
        <v>18</v>
      </c>
      <c r="D5" s="857"/>
      <c r="E5" s="232" t="s">
        <v>21</v>
      </c>
      <c r="G5" s="848" t="s">
        <v>915</v>
      </c>
      <c r="H5" s="848"/>
      <c r="I5" s="848"/>
    </row>
    <row r="6" spans="1:9" ht="16.5" thickBot="1" x14ac:dyDescent="0.3">
      <c r="A6" s="379" t="s">
        <v>660</v>
      </c>
      <c r="B6" s="380" t="s">
        <v>398</v>
      </c>
      <c r="C6" s="77"/>
      <c r="D6" s="77"/>
      <c r="E6" s="77"/>
      <c r="G6" s="850" t="s">
        <v>916</v>
      </c>
      <c r="H6" s="850"/>
      <c r="I6" s="850"/>
    </row>
    <row r="7" spans="1:9" ht="24" customHeight="1" thickBot="1" x14ac:dyDescent="0.3">
      <c r="A7" s="221" t="s">
        <v>1</v>
      </c>
      <c r="B7" s="857" t="s">
        <v>43</v>
      </c>
      <c r="C7" s="857"/>
      <c r="D7" s="857"/>
      <c r="E7" s="857"/>
    </row>
    <row r="8" spans="1:9" ht="24" customHeight="1" thickBot="1" x14ac:dyDescent="0.3">
      <c r="A8" s="221" t="s">
        <v>0</v>
      </c>
      <c r="B8" s="857" t="s">
        <v>44</v>
      </c>
      <c r="C8" s="857"/>
      <c r="D8" s="857"/>
      <c r="E8" s="857"/>
    </row>
    <row r="9" spans="1:9" ht="409.5" customHeight="1" x14ac:dyDescent="0.25">
      <c r="A9" s="224" t="s">
        <v>2</v>
      </c>
      <c r="B9" s="854" t="s">
        <v>677</v>
      </c>
      <c r="C9" s="855"/>
      <c r="D9" s="855"/>
      <c r="E9" s="855"/>
    </row>
    <row r="10" spans="1:9" ht="31.5" customHeight="1" x14ac:dyDescent="0.25">
      <c r="A10" s="224" t="s">
        <v>31</v>
      </c>
      <c r="B10" s="854"/>
      <c r="C10" s="855"/>
      <c r="D10" s="855"/>
      <c r="E10" s="855"/>
    </row>
    <row r="11" spans="1:9" ht="30" customHeight="1" x14ac:dyDescent="0.25">
      <c r="A11" s="225" t="s">
        <v>16</v>
      </c>
      <c r="B11" s="858" t="s">
        <v>86</v>
      </c>
      <c r="C11" s="858"/>
      <c r="D11" s="858"/>
      <c r="E11" s="858"/>
    </row>
    <row r="12" spans="1:9" ht="30" customHeight="1" x14ac:dyDescent="0.25">
      <c r="A12" s="225" t="s">
        <v>3</v>
      </c>
      <c r="B12" s="858"/>
      <c r="C12" s="858"/>
      <c r="D12" s="858"/>
      <c r="E12" s="858"/>
    </row>
    <row r="13" spans="1:9" ht="30" customHeight="1" x14ac:dyDescent="0.25">
      <c r="A13" s="225" t="s">
        <v>17</v>
      </c>
      <c r="B13" s="858" t="s">
        <v>177</v>
      </c>
      <c r="C13" s="858"/>
      <c r="D13" s="858"/>
      <c r="E13" s="858"/>
    </row>
    <row r="14" spans="1:9" ht="30" customHeight="1" x14ac:dyDescent="0.25">
      <c r="A14" s="225" t="s">
        <v>4</v>
      </c>
      <c r="B14" s="858">
        <v>2010</v>
      </c>
      <c r="C14" s="858"/>
      <c r="D14" s="858"/>
      <c r="E14" s="858"/>
    </row>
    <row r="15" spans="1:9" ht="30" customHeight="1" x14ac:dyDescent="0.25">
      <c r="A15" s="225" t="s">
        <v>5</v>
      </c>
      <c r="B15" s="858">
        <v>2015</v>
      </c>
      <c r="C15" s="858"/>
      <c r="D15" s="858"/>
      <c r="E15" s="858"/>
    </row>
    <row r="16" spans="1:9" ht="30" customHeight="1" x14ac:dyDescent="0.25">
      <c r="A16" s="225" t="s">
        <v>6</v>
      </c>
      <c r="B16" s="859">
        <f>9000*7</f>
        <v>63000</v>
      </c>
      <c r="C16" s="859"/>
      <c r="D16" s="859"/>
      <c r="E16" s="859"/>
    </row>
    <row r="17" spans="1:8" ht="30" customHeight="1" x14ac:dyDescent="0.25">
      <c r="A17" s="225" t="s">
        <v>7</v>
      </c>
      <c r="B17" s="859">
        <v>0</v>
      </c>
      <c r="C17" s="859"/>
      <c r="D17" s="859"/>
      <c r="E17" s="859"/>
    </row>
    <row r="18" spans="1:8" ht="30" customHeight="1" x14ac:dyDescent="0.25">
      <c r="A18" s="228" t="s">
        <v>468</v>
      </c>
      <c r="B18" s="841">
        <v>0</v>
      </c>
      <c r="C18" s="842"/>
      <c r="D18" s="842"/>
      <c r="E18" s="842"/>
      <c r="G18" s="41"/>
      <c r="H18" s="41"/>
    </row>
    <row r="19" spans="1:8" ht="30" customHeight="1" x14ac:dyDescent="0.25">
      <c r="A19" s="240" t="s">
        <v>467</v>
      </c>
      <c r="B19" s="843"/>
      <c r="C19" s="844"/>
      <c r="D19" s="844"/>
      <c r="E19" s="844"/>
    </row>
    <row r="20" spans="1:8" ht="30" customHeight="1" x14ac:dyDescent="0.25">
      <c r="A20" s="227" t="s">
        <v>8</v>
      </c>
      <c r="B20" s="845">
        <v>1</v>
      </c>
      <c r="C20" s="845"/>
      <c r="D20" s="845"/>
      <c r="E20" s="845"/>
    </row>
    <row r="21" spans="1:8" ht="30" customHeight="1" x14ac:dyDescent="0.25">
      <c r="A21" s="227" t="s">
        <v>9</v>
      </c>
      <c r="B21" s="845"/>
      <c r="C21" s="845"/>
      <c r="D21" s="845"/>
      <c r="E21" s="845"/>
    </row>
    <row r="22" spans="1:8" ht="30" customHeight="1" x14ac:dyDescent="0.25">
      <c r="A22" s="227" t="s">
        <v>465</v>
      </c>
      <c r="B22" s="846">
        <f>B16/(B20+B21)</f>
        <v>63000</v>
      </c>
      <c r="C22" s="846"/>
      <c r="D22" s="846"/>
      <c r="E22" s="846"/>
    </row>
    <row r="23" spans="1:8" ht="30" customHeight="1" x14ac:dyDescent="0.25">
      <c r="A23" s="227" t="s">
        <v>466</v>
      </c>
      <c r="B23" s="847">
        <f>(B16-B17)/(B20+B21)</f>
        <v>63000</v>
      </c>
      <c r="C23" s="847"/>
      <c r="D23" s="847"/>
      <c r="E23" s="847"/>
    </row>
    <row r="24" spans="1:8" ht="30" customHeight="1" x14ac:dyDescent="0.25">
      <c r="A24" s="229" t="s">
        <v>476</v>
      </c>
      <c r="B24" s="849">
        <f>B18*F24/1000</f>
        <v>0</v>
      </c>
      <c r="C24" s="849"/>
      <c r="D24" s="849"/>
      <c r="E24" s="849"/>
    </row>
    <row r="25" spans="1:8" ht="30" customHeight="1" x14ac:dyDescent="0.25">
      <c r="A25" s="230" t="s">
        <v>463</v>
      </c>
      <c r="B25" s="840">
        <f>B24/'Objectifs CO2'!C15</f>
        <v>0</v>
      </c>
      <c r="C25" s="840"/>
      <c r="D25" s="840"/>
      <c r="E25" s="840"/>
    </row>
    <row r="26" spans="1:8" ht="30" customHeight="1" x14ac:dyDescent="0.25">
      <c r="A26" s="213" t="s">
        <v>464</v>
      </c>
      <c r="B26" s="840">
        <f>B24/'Objectifs CO2'!C8</f>
        <v>0</v>
      </c>
      <c r="C26" s="840"/>
      <c r="D26" s="840"/>
      <c r="E26" s="840"/>
    </row>
    <row r="27" spans="1:8" ht="30" customHeight="1" x14ac:dyDescent="0.25">
      <c r="A27" s="213" t="s">
        <v>24</v>
      </c>
      <c r="B27" s="853"/>
      <c r="C27" s="853"/>
      <c r="D27" s="853"/>
      <c r="E27" s="853"/>
    </row>
    <row r="28" spans="1:8" ht="30" customHeight="1" x14ac:dyDescent="0.25">
      <c r="A28" s="231" t="s">
        <v>418</v>
      </c>
      <c r="B28" s="853"/>
      <c r="C28" s="853"/>
      <c r="D28" s="853"/>
      <c r="E28" s="853"/>
    </row>
  </sheetData>
  <mergeCells count="28">
    <mergeCell ref="B27:E27"/>
    <mergeCell ref="B28:E28"/>
    <mergeCell ref="B9:E9"/>
    <mergeCell ref="A2:E2"/>
    <mergeCell ref="C5:D5"/>
    <mergeCell ref="B7:E7"/>
    <mergeCell ref="B8:E8"/>
    <mergeCell ref="B21:E21"/>
    <mergeCell ref="B10:E10"/>
    <mergeCell ref="B11:E11"/>
    <mergeCell ref="B12:E12"/>
    <mergeCell ref="B13:E13"/>
    <mergeCell ref="B14:E14"/>
    <mergeCell ref="B15:E15"/>
    <mergeCell ref="B16:E16"/>
    <mergeCell ref="B17:E17"/>
    <mergeCell ref="G4:I4"/>
    <mergeCell ref="G5:I5"/>
    <mergeCell ref="B24:E24"/>
    <mergeCell ref="B25:E25"/>
    <mergeCell ref="G6:I6"/>
    <mergeCell ref="C4:D4"/>
    <mergeCell ref="B26:E26"/>
    <mergeCell ref="B18:E18"/>
    <mergeCell ref="B19:E19"/>
    <mergeCell ref="B20:E20"/>
    <mergeCell ref="B22:E22"/>
    <mergeCell ref="B23:E23"/>
  </mergeCells>
  <conditionalFormatting sqref="E5">
    <cfRule type="containsText" dxfId="260" priority="1" operator="containsText" text="Terminé">
      <formula>NOT(ISERROR(SEARCH("Terminé",E5)))</formula>
    </cfRule>
    <cfRule type="containsText" dxfId="259" priority="2" operator="containsText" text="En cours">
      <formula>NOT(ISERROR(SEARCH("En cours",E5)))</formula>
    </cfRule>
    <cfRule type="containsText" dxfId="258" priority="3" operator="containsText" text="A faire">
      <formula>NOT(ISERROR(SEARCH("A faire",E5)))</formula>
    </cfRule>
  </conditionalFormatting>
  <hyperlinks>
    <hyperlink ref="G4:I4" location="'Objectifs CO2'!A1" display="Lien vers Objectifs CO2"/>
    <hyperlink ref="G5:I5" location="'Synthèse CO2'!A1" display="Lien synthèse CO2"/>
    <hyperlink ref="G6" location="CALENDRIER!A1" display="Lien vers CALENDRIER"/>
  </hyperlinks>
  <pageMargins left="0.7" right="0.7" top="0.75" bottom="0.75" header="0.3" footer="0.3"/>
  <pageSetup paperSize="9" scale="65"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8"/>
  <sheetViews>
    <sheetView topLeftCell="A10" zoomScaleNormal="100" zoomScaleSheetLayoutView="220" workbookViewId="0">
      <selection activeCell="G4" sqref="G4:I4"/>
    </sheetView>
  </sheetViews>
  <sheetFormatPr baseColWidth="10" defaultColWidth="11.42578125" defaultRowHeight="15" x14ac:dyDescent="0.25"/>
  <cols>
    <col min="1" max="1" width="40.7109375" style="37" customWidth="1"/>
    <col min="2" max="2" width="16.7109375" style="37" customWidth="1"/>
    <col min="3" max="3" width="18.7109375" style="37" customWidth="1"/>
    <col min="4" max="4" width="5.7109375" style="37" customWidth="1"/>
    <col min="5" max="5" width="18.7109375" style="37" customWidth="1"/>
    <col min="6" max="6" width="1.5703125" style="37" customWidth="1"/>
    <col min="7" max="16384" width="11.42578125" style="37"/>
  </cols>
  <sheetData>
    <row r="1" spans="1:14" ht="21" x14ac:dyDescent="0.35">
      <c r="A1" s="11" t="s">
        <v>87</v>
      </c>
      <c r="B1" s="11"/>
      <c r="C1" s="11"/>
      <c r="D1" s="11"/>
      <c r="E1" s="11"/>
    </row>
    <row r="2" spans="1:14" ht="26.25" x14ac:dyDescent="0.4">
      <c r="A2" s="856" t="s">
        <v>913</v>
      </c>
      <c r="B2" s="856"/>
      <c r="C2" s="856"/>
      <c r="D2" s="856"/>
      <c r="E2" s="856"/>
    </row>
    <row r="3" spans="1:14" ht="27" thickBot="1" x14ac:dyDescent="0.45">
      <c r="A3" s="358"/>
      <c r="B3" s="358"/>
      <c r="C3" s="358"/>
      <c r="D3" s="358"/>
      <c r="E3" s="358"/>
    </row>
    <row r="4" spans="1:14" ht="15.75" thickBot="1" x14ac:dyDescent="0.3">
      <c r="A4" s="12"/>
      <c r="B4" s="233" t="s">
        <v>469</v>
      </c>
      <c r="C4" s="851" t="s">
        <v>35</v>
      </c>
      <c r="D4" s="852"/>
      <c r="E4" s="175" t="s">
        <v>707</v>
      </c>
      <c r="G4" s="827" t="s">
        <v>914</v>
      </c>
      <c r="H4" s="827"/>
    </row>
    <row r="5" spans="1:14" ht="15.75" x14ac:dyDescent="0.25">
      <c r="A5" s="381" t="s">
        <v>651</v>
      </c>
      <c r="B5" s="382" t="s">
        <v>786</v>
      </c>
      <c r="C5" s="820" t="s">
        <v>18</v>
      </c>
      <c r="D5" s="820"/>
      <c r="E5" s="232" t="s">
        <v>20</v>
      </c>
      <c r="G5" s="827" t="s">
        <v>915</v>
      </c>
      <c r="H5" s="827"/>
    </row>
    <row r="6" spans="1:14" ht="15.75" x14ac:dyDescent="0.25">
      <c r="A6" s="379" t="s">
        <v>660</v>
      </c>
      <c r="B6" s="380" t="s">
        <v>658</v>
      </c>
      <c r="G6" s="827" t="s">
        <v>916</v>
      </c>
      <c r="H6" s="827"/>
    </row>
    <row r="7" spans="1:14" x14ac:dyDescent="0.25">
      <c r="A7" s="227" t="s">
        <v>1</v>
      </c>
      <c r="B7" s="820" t="s">
        <v>35</v>
      </c>
      <c r="C7" s="820"/>
      <c r="D7" s="820"/>
      <c r="E7" s="820"/>
    </row>
    <row r="8" spans="1:14" x14ac:dyDescent="0.25">
      <c r="A8" s="227" t="s">
        <v>0</v>
      </c>
      <c r="B8" s="820" t="s">
        <v>706</v>
      </c>
      <c r="C8" s="820"/>
      <c r="D8" s="820"/>
      <c r="E8" s="820"/>
    </row>
    <row r="9" spans="1:14" ht="37.5" customHeight="1" x14ac:dyDescent="0.25">
      <c r="A9" s="227" t="s">
        <v>2</v>
      </c>
      <c r="B9" s="890" t="s">
        <v>733</v>
      </c>
      <c r="C9" s="889"/>
      <c r="D9" s="889"/>
      <c r="E9" s="889"/>
      <c r="G9" s="116" t="s">
        <v>602</v>
      </c>
      <c r="H9" s="116" t="s">
        <v>280</v>
      </c>
      <c r="I9" s="116" t="s">
        <v>201</v>
      </c>
      <c r="J9" s="116" t="s">
        <v>603</v>
      </c>
      <c r="K9" s="116" t="s">
        <v>223</v>
      </c>
      <c r="L9" s="116" t="s">
        <v>604</v>
      </c>
    </row>
    <row r="10" spans="1:14" ht="15.75" x14ac:dyDescent="0.25">
      <c r="A10" s="227" t="s">
        <v>31</v>
      </c>
      <c r="B10" s="889" t="s">
        <v>771</v>
      </c>
      <c r="C10" s="889"/>
      <c r="D10" s="889"/>
      <c r="E10" s="889"/>
      <c r="G10" s="361">
        <v>25</v>
      </c>
      <c r="H10" s="361">
        <v>600</v>
      </c>
      <c r="I10" s="361">
        <v>0.86</v>
      </c>
      <c r="J10" s="361">
        <v>5500</v>
      </c>
      <c r="K10" s="361">
        <v>4500</v>
      </c>
      <c r="L10" s="361">
        <v>3.5</v>
      </c>
    </row>
    <row r="11" spans="1:14" x14ac:dyDescent="0.25">
      <c r="A11" s="227" t="s">
        <v>16</v>
      </c>
      <c r="B11" s="874" t="s">
        <v>512</v>
      </c>
      <c r="C11" s="874"/>
      <c r="D11" s="874"/>
      <c r="E11" s="874"/>
    </row>
    <row r="12" spans="1:14" x14ac:dyDescent="0.25">
      <c r="A12" s="227" t="s">
        <v>3</v>
      </c>
      <c r="B12" s="874"/>
      <c r="C12" s="874"/>
      <c r="D12" s="874"/>
      <c r="E12" s="874"/>
    </row>
    <row r="13" spans="1:14" ht="30" customHeight="1" x14ac:dyDescent="0.25">
      <c r="A13" s="227" t="s">
        <v>17</v>
      </c>
      <c r="B13" s="874"/>
      <c r="C13" s="874"/>
      <c r="D13" s="874"/>
      <c r="E13" s="874"/>
      <c r="G13" s="117" t="s">
        <v>282</v>
      </c>
      <c r="H13" s="117" t="s">
        <v>202</v>
      </c>
      <c r="I13" s="117" t="s">
        <v>203</v>
      </c>
      <c r="J13" s="117" t="s">
        <v>188</v>
      </c>
      <c r="K13" s="117" t="s">
        <v>605</v>
      </c>
      <c r="L13" s="117" t="s">
        <v>606</v>
      </c>
      <c r="M13" s="117" t="s">
        <v>607</v>
      </c>
      <c r="N13" s="367" t="s">
        <v>608</v>
      </c>
    </row>
    <row r="14" spans="1:14" x14ac:dyDescent="0.25">
      <c r="A14" s="227" t="s">
        <v>4</v>
      </c>
      <c r="B14" s="874">
        <v>2015</v>
      </c>
      <c r="C14" s="874"/>
      <c r="D14" s="874"/>
      <c r="E14" s="874"/>
      <c r="G14" s="135">
        <f>G10*H10*10</f>
        <v>150000</v>
      </c>
      <c r="H14" s="360">
        <v>0.26100000000000001</v>
      </c>
      <c r="I14" s="360">
        <v>1128</v>
      </c>
      <c r="J14" s="360">
        <v>16402</v>
      </c>
      <c r="K14" s="142">
        <f>H10*10/L10</f>
        <v>1714.2857142857142</v>
      </c>
      <c r="L14" s="360">
        <v>8.5999999999999993E-2</v>
      </c>
      <c r="M14" s="360">
        <v>0.2</v>
      </c>
      <c r="N14" s="368">
        <v>800</v>
      </c>
    </row>
    <row r="15" spans="1:14" x14ac:dyDescent="0.25">
      <c r="A15" s="227" t="s">
        <v>5</v>
      </c>
      <c r="B15" s="874">
        <v>2020</v>
      </c>
      <c r="C15" s="874"/>
      <c r="D15" s="874"/>
      <c r="E15" s="874"/>
    </row>
    <row r="16" spans="1:14" x14ac:dyDescent="0.25">
      <c r="A16" s="227" t="s">
        <v>6</v>
      </c>
      <c r="B16" s="845">
        <f>G10*J10</f>
        <v>137500</v>
      </c>
      <c r="C16" s="845"/>
      <c r="D16" s="845"/>
      <c r="E16" s="845"/>
    </row>
    <row r="17" spans="1:8" x14ac:dyDescent="0.25">
      <c r="A17" s="227" t="s">
        <v>7</v>
      </c>
      <c r="B17" s="845">
        <v>0</v>
      </c>
      <c r="C17" s="845"/>
      <c r="D17" s="845"/>
      <c r="E17" s="845"/>
      <c r="G17" s="362" t="s">
        <v>608</v>
      </c>
      <c r="H17" s="317">
        <v>800</v>
      </c>
    </row>
    <row r="18" spans="1:8" ht="23.25" x14ac:dyDescent="0.25">
      <c r="A18" s="318" t="s">
        <v>468</v>
      </c>
      <c r="B18" s="981"/>
      <c r="C18" s="982"/>
      <c r="D18" s="982"/>
      <c r="E18" s="982"/>
      <c r="G18" s="2"/>
    </row>
    <row r="19" spans="1:8" ht="23.25" x14ac:dyDescent="0.25">
      <c r="A19" s="319" t="s">
        <v>467</v>
      </c>
      <c r="B19" s="983">
        <f>G10*H10*10/0.92-G10*H10*10/L10</f>
        <v>120186.33540372671</v>
      </c>
      <c r="C19" s="984"/>
      <c r="D19" s="984"/>
      <c r="E19" s="984"/>
      <c r="F19" s="2"/>
      <c r="G19" s="2"/>
    </row>
    <row r="20" spans="1:8" x14ac:dyDescent="0.25">
      <c r="A20" s="227" t="s">
        <v>8</v>
      </c>
      <c r="B20" s="988">
        <f>B19/10*I10-G10*H10*10/L10*M14</f>
        <v>1764.596273291927</v>
      </c>
      <c r="C20" s="988"/>
      <c r="D20" s="988"/>
      <c r="E20" s="988"/>
    </row>
    <row r="21" spans="1:8" x14ac:dyDescent="0.25">
      <c r="A21" s="227" t="s">
        <v>9</v>
      </c>
      <c r="B21" s="845"/>
      <c r="C21" s="845"/>
      <c r="D21" s="845"/>
      <c r="E21" s="845"/>
    </row>
    <row r="22" spans="1:8" x14ac:dyDescent="0.25">
      <c r="A22" s="227" t="s">
        <v>465</v>
      </c>
      <c r="B22" s="846">
        <f>(B16-K10*G10)/(B20+B21)</f>
        <v>14.167546638507556</v>
      </c>
      <c r="C22" s="846"/>
      <c r="D22" s="846"/>
      <c r="E22" s="846"/>
    </row>
    <row r="23" spans="1:8" x14ac:dyDescent="0.25">
      <c r="A23" s="227" t="s">
        <v>466</v>
      </c>
      <c r="B23" s="925">
        <f>(B16-B17-K10*G10)/(B20+B21)</f>
        <v>14.167546638507556</v>
      </c>
      <c r="C23" s="925"/>
      <c r="D23" s="925"/>
      <c r="E23" s="925"/>
    </row>
    <row r="24" spans="1:8" ht="23.25" x14ac:dyDescent="0.25">
      <c r="A24" s="229" t="s">
        <v>476</v>
      </c>
      <c r="B24" s="985">
        <f>B19/1000*H14</f>
        <v>31.368633540372674</v>
      </c>
      <c r="C24" s="985"/>
      <c r="D24" s="985"/>
      <c r="E24" s="985"/>
    </row>
    <row r="25" spans="1:8" x14ac:dyDescent="0.25">
      <c r="A25" s="213" t="s">
        <v>463</v>
      </c>
      <c r="B25" s="986">
        <f>B24/'Objectifs CO2'!C12</f>
        <v>9.091073644592754E-3</v>
      </c>
      <c r="C25" s="986"/>
      <c r="D25" s="986"/>
      <c r="E25" s="986"/>
    </row>
    <row r="26" spans="1:8" x14ac:dyDescent="0.25">
      <c r="A26" s="213" t="s">
        <v>464</v>
      </c>
      <c r="B26" s="986">
        <f>B24/'Objectifs CO2'!$C$4</f>
        <v>4.545536822296377E-3</v>
      </c>
      <c r="C26" s="986"/>
      <c r="D26" s="986"/>
      <c r="E26" s="986"/>
    </row>
    <row r="27" spans="1:8" x14ac:dyDescent="0.25">
      <c r="A27" s="213" t="s">
        <v>24</v>
      </c>
      <c r="B27" s="987"/>
      <c r="C27" s="987"/>
      <c r="D27" s="987"/>
      <c r="E27" s="987"/>
    </row>
    <row r="28" spans="1:8" x14ac:dyDescent="0.25">
      <c r="A28" s="213" t="s">
        <v>418</v>
      </c>
      <c r="B28" s="853" t="s">
        <v>846</v>
      </c>
      <c r="C28" s="853"/>
      <c r="D28" s="853"/>
      <c r="E28" s="853"/>
    </row>
  </sheetData>
  <mergeCells count="28">
    <mergeCell ref="B26:E26"/>
    <mergeCell ref="B27:E27"/>
    <mergeCell ref="B28:E28"/>
    <mergeCell ref="B20:E20"/>
    <mergeCell ref="B21:E21"/>
    <mergeCell ref="B22:E22"/>
    <mergeCell ref="B23:E23"/>
    <mergeCell ref="B24:E24"/>
    <mergeCell ref="B25:E25"/>
    <mergeCell ref="B19:E19"/>
    <mergeCell ref="B8:E8"/>
    <mergeCell ref="B9:E9"/>
    <mergeCell ref="B10:E10"/>
    <mergeCell ref="B11:E11"/>
    <mergeCell ref="B12:E12"/>
    <mergeCell ref="B13:E13"/>
    <mergeCell ref="B14:E14"/>
    <mergeCell ref="B15:E15"/>
    <mergeCell ref="B16:E16"/>
    <mergeCell ref="B17:E17"/>
    <mergeCell ref="B18:E18"/>
    <mergeCell ref="B7:E7"/>
    <mergeCell ref="A2:E2"/>
    <mergeCell ref="G4:H4"/>
    <mergeCell ref="C5:D5"/>
    <mergeCell ref="G5:H5"/>
    <mergeCell ref="G6:H6"/>
    <mergeCell ref="C4:D4"/>
  </mergeCells>
  <conditionalFormatting sqref="E5">
    <cfRule type="containsText" dxfId="44" priority="1" operator="containsText" text="Terminé">
      <formula>NOT(ISERROR(SEARCH("Terminé",E5)))</formula>
    </cfRule>
    <cfRule type="containsText" dxfId="43" priority="2" operator="containsText" text="En cours">
      <formula>NOT(ISERROR(SEARCH("En cours",E5)))</formula>
    </cfRule>
    <cfRule type="containsText" dxfId="42" priority="3" operator="containsText" text="A faire">
      <formula>NOT(ISERROR(SEARCH("A faire",E5)))</formula>
    </cfRule>
  </conditionalFormatting>
  <hyperlinks>
    <hyperlink ref="G5" location="'Synthèse CO2'!A1" display="Lien vers Synthèse CO2"/>
    <hyperlink ref="G4" location="'Objectifs CO2'!A1" display="lien vers Objectifs CO2"/>
    <hyperlink ref="G6:H6" location="CALENDRIER!A1" display="Lien vers CALENDRIER"/>
  </hyperlinks>
  <pageMargins left="0.7" right="0.7" top="0.75" bottom="0.75" header="0.3" footer="0.3"/>
  <pageSetup paperSize="9" scale="86"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8"/>
  <sheetViews>
    <sheetView topLeftCell="B4" zoomScaleNormal="100" zoomScaleSheetLayoutView="220" workbookViewId="0">
      <selection activeCell="I18" sqref="I18"/>
    </sheetView>
  </sheetViews>
  <sheetFormatPr baseColWidth="10" defaultColWidth="11.42578125" defaultRowHeight="15" x14ac:dyDescent="0.25"/>
  <cols>
    <col min="1" max="1" width="40.7109375" style="37" customWidth="1"/>
    <col min="2" max="2" width="16.7109375" style="37" customWidth="1"/>
    <col min="3" max="3" width="18.7109375" style="37" customWidth="1"/>
    <col min="4" max="4" width="5.7109375" style="37" customWidth="1"/>
    <col min="5" max="5" width="18.7109375" style="37" customWidth="1"/>
    <col min="6" max="6" width="1.5703125" style="37" customWidth="1"/>
    <col min="7" max="16384" width="11.42578125" style="37"/>
  </cols>
  <sheetData>
    <row r="1" spans="1:14" ht="21" x14ac:dyDescent="0.35">
      <c r="A1" s="11" t="s">
        <v>87</v>
      </c>
      <c r="B1" s="11"/>
      <c r="C1" s="11"/>
      <c r="D1" s="11"/>
      <c r="E1" s="11"/>
    </row>
    <row r="2" spans="1:14" ht="26.25" x14ac:dyDescent="0.4">
      <c r="A2" s="856" t="s">
        <v>913</v>
      </c>
      <c r="B2" s="856"/>
      <c r="C2" s="856"/>
      <c r="D2" s="856"/>
      <c r="E2" s="856"/>
    </row>
    <row r="3" spans="1:14" ht="27" thickBot="1" x14ac:dyDescent="0.45">
      <c r="A3" s="358"/>
      <c r="B3" s="358"/>
      <c r="C3" s="358"/>
      <c r="D3" s="358"/>
      <c r="E3" s="358"/>
    </row>
    <row r="4" spans="1:14" ht="15.75" thickBot="1" x14ac:dyDescent="0.3">
      <c r="A4" s="12"/>
      <c r="B4" s="233" t="s">
        <v>469</v>
      </c>
      <c r="C4" s="851" t="s">
        <v>35</v>
      </c>
      <c r="D4" s="852"/>
      <c r="E4" s="175" t="s">
        <v>708</v>
      </c>
      <c r="G4" s="827" t="s">
        <v>914</v>
      </c>
      <c r="H4" s="827"/>
    </row>
    <row r="5" spans="1:14" ht="15.75" x14ac:dyDescent="0.25">
      <c r="A5" s="381" t="s">
        <v>651</v>
      </c>
      <c r="B5" s="382" t="s">
        <v>786</v>
      </c>
      <c r="C5" s="820" t="s">
        <v>18</v>
      </c>
      <c r="D5" s="820"/>
      <c r="E5" s="232" t="s">
        <v>20</v>
      </c>
      <c r="G5" s="827" t="s">
        <v>915</v>
      </c>
      <c r="H5" s="827"/>
    </row>
    <row r="6" spans="1:14" ht="15.75" x14ac:dyDescent="0.25">
      <c r="A6" s="379" t="s">
        <v>660</v>
      </c>
      <c r="B6" s="380" t="s">
        <v>658</v>
      </c>
      <c r="G6" s="827" t="s">
        <v>916</v>
      </c>
      <c r="H6" s="827"/>
    </row>
    <row r="7" spans="1:14" x14ac:dyDescent="0.25">
      <c r="A7" s="227" t="s">
        <v>1</v>
      </c>
      <c r="B7" s="820" t="s">
        <v>35</v>
      </c>
      <c r="C7" s="820"/>
      <c r="D7" s="820"/>
      <c r="E7" s="820"/>
    </row>
    <row r="8" spans="1:14" x14ac:dyDescent="0.25">
      <c r="A8" s="227" t="s">
        <v>0</v>
      </c>
      <c r="B8" s="820" t="s">
        <v>709</v>
      </c>
      <c r="C8" s="820"/>
      <c r="D8" s="820"/>
      <c r="E8" s="820"/>
    </row>
    <row r="9" spans="1:14" ht="30" x14ac:dyDescent="0.25">
      <c r="A9" s="227" t="s">
        <v>2</v>
      </c>
      <c r="B9" s="890" t="s">
        <v>734</v>
      </c>
      <c r="C9" s="889"/>
      <c r="D9" s="889"/>
      <c r="E9" s="889"/>
      <c r="G9" s="116" t="s">
        <v>602</v>
      </c>
      <c r="H9" s="116" t="s">
        <v>280</v>
      </c>
      <c r="I9" s="116" t="s">
        <v>201</v>
      </c>
      <c r="J9" s="116" t="s">
        <v>603</v>
      </c>
      <c r="K9" s="116" t="s">
        <v>223</v>
      </c>
      <c r="L9" s="116" t="s">
        <v>604</v>
      </c>
    </row>
    <row r="10" spans="1:14" ht="15.75" x14ac:dyDescent="0.25">
      <c r="A10" s="227" t="s">
        <v>31</v>
      </c>
      <c r="B10" s="889" t="s">
        <v>772</v>
      </c>
      <c r="C10" s="889"/>
      <c r="D10" s="889"/>
      <c r="E10" s="889"/>
      <c r="G10" s="361">
        <v>25</v>
      </c>
      <c r="H10" s="361">
        <v>600</v>
      </c>
      <c r="I10" s="361">
        <v>0.86</v>
      </c>
      <c r="J10" s="361">
        <v>8000</v>
      </c>
      <c r="K10" s="361">
        <v>4500</v>
      </c>
      <c r="L10" s="361">
        <v>3.8</v>
      </c>
    </row>
    <row r="11" spans="1:14" x14ac:dyDescent="0.25">
      <c r="A11" s="227" t="s">
        <v>16</v>
      </c>
      <c r="B11" s="874" t="s">
        <v>512</v>
      </c>
      <c r="C11" s="874"/>
      <c r="D11" s="874"/>
      <c r="E11" s="874"/>
    </row>
    <row r="12" spans="1:14" x14ac:dyDescent="0.25">
      <c r="A12" s="227" t="s">
        <v>3</v>
      </c>
      <c r="B12" s="874"/>
      <c r="C12" s="874"/>
      <c r="D12" s="874"/>
      <c r="E12" s="874"/>
    </row>
    <row r="13" spans="1:14" ht="30" customHeight="1" x14ac:dyDescent="0.25">
      <c r="A13" s="227" t="s">
        <v>17</v>
      </c>
      <c r="B13" s="874"/>
      <c r="C13" s="874"/>
      <c r="D13" s="874"/>
      <c r="E13" s="874"/>
      <c r="G13" s="117" t="s">
        <v>282</v>
      </c>
      <c r="H13" s="117" t="s">
        <v>202</v>
      </c>
      <c r="I13" s="117" t="s">
        <v>203</v>
      </c>
      <c r="J13" s="117" t="s">
        <v>188</v>
      </c>
      <c r="K13" s="117" t="s">
        <v>605</v>
      </c>
      <c r="L13" s="117" t="s">
        <v>606</v>
      </c>
      <c r="M13" s="117" t="s">
        <v>607</v>
      </c>
      <c r="N13" s="367" t="s">
        <v>608</v>
      </c>
    </row>
    <row r="14" spans="1:14" x14ac:dyDescent="0.25">
      <c r="A14" s="227" t="s">
        <v>4</v>
      </c>
      <c r="B14" s="874">
        <v>2015</v>
      </c>
      <c r="C14" s="874"/>
      <c r="D14" s="874"/>
      <c r="E14" s="874"/>
      <c r="G14" s="135">
        <f>G10*H10*10</f>
        <v>150000</v>
      </c>
      <c r="H14" s="360">
        <v>0.26100000000000001</v>
      </c>
      <c r="I14" s="360">
        <v>1128</v>
      </c>
      <c r="J14" s="360">
        <v>16402</v>
      </c>
      <c r="K14" s="142">
        <f>H10*10/L10</f>
        <v>1578.9473684210527</v>
      </c>
      <c r="L14" s="360">
        <v>8.5999999999999993E-2</v>
      </c>
      <c r="M14" s="360">
        <v>0.2</v>
      </c>
      <c r="N14" s="368">
        <v>800</v>
      </c>
    </row>
    <row r="15" spans="1:14" x14ac:dyDescent="0.25">
      <c r="A15" s="227" t="s">
        <v>5</v>
      </c>
      <c r="B15" s="874">
        <v>2020</v>
      </c>
      <c r="C15" s="874"/>
      <c r="D15" s="874"/>
      <c r="E15" s="874"/>
    </row>
    <row r="16" spans="1:14" x14ac:dyDescent="0.25">
      <c r="A16" s="227" t="s">
        <v>6</v>
      </c>
      <c r="B16" s="845">
        <f>G10*J10</f>
        <v>200000</v>
      </c>
      <c r="C16" s="845"/>
      <c r="D16" s="845"/>
      <c r="E16" s="845"/>
    </row>
    <row r="17" spans="1:8" x14ac:dyDescent="0.25">
      <c r="A17" s="227" t="s">
        <v>7</v>
      </c>
      <c r="B17" s="845"/>
      <c r="C17" s="845"/>
      <c r="D17" s="845"/>
      <c r="E17" s="845"/>
      <c r="G17" s="362" t="s">
        <v>608</v>
      </c>
      <c r="H17" s="317">
        <v>800</v>
      </c>
    </row>
    <row r="18" spans="1:8" ht="23.25" x14ac:dyDescent="0.25">
      <c r="A18" s="318" t="s">
        <v>468</v>
      </c>
      <c r="B18" s="981"/>
      <c r="C18" s="982"/>
      <c r="D18" s="982"/>
      <c r="E18" s="982"/>
      <c r="G18" s="2"/>
    </row>
    <row r="19" spans="1:8" ht="23.25" x14ac:dyDescent="0.25">
      <c r="A19" s="319" t="s">
        <v>467</v>
      </c>
      <c r="B19" s="983">
        <f>G10*H10*10/0.92-G10*H10*10/L10</f>
        <v>123569.79405034325</v>
      </c>
      <c r="C19" s="984"/>
      <c r="D19" s="984"/>
      <c r="E19" s="984"/>
      <c r="F19" s="2"/>
      <c r="G19" s="2"/>
    </row>
    <row r="20" spans="1:8" x14ac:dyDescent="0.25">
      <c r="A20" s="227" t="s">
        <v>8</v>
      </c>
      <c r="B20" s="931">
        <f>B19/10*I10-G10*H10*10/L10*M14</f>
        <v>2732.2654462242544</v>
      </c>
      <c r="C20" s="931"/>
      <c r="D20" s="931"/>
      <c r="E20" s="931"/>
    </row>
    <row r="21" spans="1:8" x14ac:dyDescent="0.25">
      <c r="A21" s="227" t="s">
        <v>9</v>
      </c>
      <c r="B21" s="845"/>
      <c r="C21" s="845"/>
      <c r="D21" s="845"/>
      <c r="E21" s="845"/>
    </row>
    <row r="22" spans="1:8" x14ac:dyDescent="0.25">
      <c r="A22" s="227" t="s">
        <v>465</v>
      </c>
      <c r="B22" s="846">
        <f>(B16-K10*G10)/(B20+B21)</f>
        <v>32.024706867671711</v>
      </c>
      <c r="C22" s="846"/>
      <c r="D22" s="846"/>
      <c r="E22" s="846"/>
    </row>
    <row r="23" spans="1:8" x14ac:dyDescent="0.25">
      <c r="A23" s="227" t="s">
        <v>466</v>
      </c>
      <c r="B23" s="925">
        <f>(B16-B17-K10*G10)/(B20+B21)</f>
        <v>32.024706867671711</v>
      </c>
      <c r="C23" s="925"/>
      <c r="D23" s="925"/>
      <c r="E23" s="925"/>
    </row>
    <row r="24" spans="1:8" ht="23.25" x14ac:dyDescent="0.25">
      <c r="A24" s="229" t="s">
        <v>476</v>
      </c>
      <c r="B24" s="985">
        <f>B19/1000*H14</f>
        <v>32.251716247139591</v>
      </c>
      <c r="C24" s="985"/>
      <c r="D24" s="985"/>
      <c r="E24" s="985"/>
    </row>
    <row r="25" spans="1:8" x14ac:dyDescent="0.25">
      <c r="A25" s="213" t="s">
        <v>463</v>
      </c>
      <c r="B25" s="986">
        <f>B24/'Objectifs CO2'!C12</f>
        <v>9.347003502396466E-3</v>
      </c>
      <c r="C25" s="986"/>
      <c r="D25" s="986"/>
      <c r="E25" s="986"/>
    </row>
    <row r="26" spans="1:8" x14ac:dyDescent="0.25">
      <c r="A26" s="213" t="s">
        <v>464</v>
      </c>
      <c r="B26" s="986">
        <f>B24/'Objectifs CO2'!$C$4</f>
        <v>4.673501751198233E-3</v>
      </c>
      <c r="C26" s="986"/>
      <c r="D26" s="986"/>
      <c r="E26" s="986"/>
    </row>
    <row r="27" spans="1:8" x14ac:dyDescent="0.25">
      <c r="A27" s="213" t="s">
        <v>24</v>
      </c>
      <c r="B27" s="987"/>
      <c r="C27" s="987"/>
      <c r="D27" s="987"/>
      <c r="E27" s="987"/>
    </row>
    <row r="28" spans="1:8" x14ac:dyDescent="0.25">
      <c r="A28" s="213" t="s">
        <v>418</v>
      </c>
      <c r="B28" s="853" t="s">
        <v>846</v>
      </c>
      <c r="C28" s="853"/>
      <c r="D28" s="853"/>
      <c r="E28" s="853"/>
    </row>
  </sheetData>
  <mergeCells count="28">
    <mergeCell ref="B26:E26"/>
    <mergeCell ref="B27:E27"/>
    <mergeCell ref="B28:E28"/>
    <mergeCell ref="B20:E20"/>
    <mergeCell ref="B21:E21"/>
    <mergeCell ref="B22:E22"/>
    <mergeCell ref="B23:E23"/>
    <mergeCell ref="B24:E24"/>
    <mergeCell ref="B25:E25"/>
    <mergeCell ref="B19:E19"/>
    <mergeCell ref="B8:E8"/>
    <mergeCell ref="B9:E9"/>
    <mergeCell ref="B10:E10"/>
    <mergeCell ref="B11:E11"/>
    <mergeCell ref="B12:E12"/>
    <mergeCell ref="B13:E13"/>
    <mergeCell ref="B14:E14"/>
    <mergeCell ref="B15:E15"/>
    <mergeCell ref="B16:E16"/>
    <mergeCell ref="B17:E17"/>
    <mergeCell ref="B18:E18"/>
    <mergeCell ref="B7:E7"/>
    <mergeCell ref="A2:E2"/>
    <mergeCell ref="G4:H4"/>
    <mergeCell ref="C5:D5"/>
    <mergeCell ref="G5:H5"/>
    <mergeCell ref="G6:H6"/>
    <mergeCell ref="C4:D4"/>
  </mergeCells>
  <conditionalFormatting sqref="E5">
    <cfRule type="containsText" dxfId="41" priority="1" operator="containsText" text="Terminé">
      <formula>NOT(ISERROR(SEARCH("Terminé",E5)))</formula>
    </cfRule>
    <cfRule type="containsText" dxfId="40" priority="2" operator="containsText" text="En cours">
      <formula>NOT(ISERROR(SEARCH("En cours",E5)))</formula>
    </cfRule>
    <cfRule type="containsText" dxfId="39" priority="3" operator="containsText" text="A faire">
      <formula>NOT(ISERROR(SEARCH("A faire",E5)))</formula>
    </cfRule>
  </conditionalFormatting>
  <hyperlinks>
    <hyperlink ref="G5" location="'Synthèse CO2'!A1" display="Lien vers Synthèse CO2"/>
    <hyperlink ref="G4" location="'Objectifs CO2'!A1" display="lien vers Objectifs CO2"/>
    <hyperlink ref="G6:H6" location="CALENDRIER!A1" display="Lien vers CALENDRIER"/>
  </hyperlinks>
  <pageMargins left="0.7" right="0.7" top="0.75" bottom="0.75" header="0.3" footer="0.3"/>
  <pageSetup paperSize="9" scale="86"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8"/>
  <sheetViews>
    <sheetView topLeftCell="B1" zoomScaleNormal="100" zoomScaleSheetLayoutView="220" workbookViewId="0">
      <selection activeCell="G4" sqref="G4:I4"/>
    </sheetView>
  </sheetViews>
  <sheetFormatPr baseColWidth="10" defaultColWidth="11.42578125" defaultRowHeight="15" x14ac:dyDescent="0.25"/>
  <cols>
    <col min="1" max="1" width="40.7109375" style="37" customWidth="1"/>
    <col min="2" max="2" width="16.7109375" style="37" customWidth="1"/>
    <col min="3" max="3" width="18.7109375" style="37" customWidth="1"/>
    <col min="4" max="4" width="5.7109375" style="37" customWidth="1"/>
    <col min="5" max="5" width="18.7109375" style="37" customWidth="1"/>
    <col min="6" max="6" width="1.5703125" style="37" customWidth="1"/>
    <col min="7" max="16384" width="11.42578125" style="37"/>
  </cols>
  <sheetData>
    <row r="1" spans="1:14" ht="21" x14ac:dyDescent="0.35">
      <c r="A1" s="11" t="s">
        <v>87</v>
      </c>
      <c r="B1" s="11"/>
      <c r="C1" s="11"/>
      <c r="D1" s="11"/>
      <c r="E1" s="11"/>
    </row>
    <row r="2" spans="1:14" ht="26.25" x14ac:dyDescent="0.4">
      <c r="A2" s="856" t="s">
        <v>913</v>
      </c>
      <c r="B2" s="856"/>
      <c r="C2" s="856"/>
      <c r="D2" s="856"/>
      <c r="E2" s="856"/>
    </row>
    <row r="3" spans="1:14" ht="27" thickBot="1" x14ac:dyDescent="0.45">
      <c r="A3" s="358"/>
      <c r="B3" s="358"/>
      <c r="C3" s="358"/>
      <c r="D3" s="358"/>
      <c r="E3" s="358"/>
    </row>
    <row r="4" spans="1:14" ht="15.75" thickBot="1" x14ac:dyDescent="0.3">
      <c r="A4" s="12"/>
      <c r="B4" s="233" t="s">
        <v>469</v>
      </c>
      <c r="C4" s="851" t="s">
        <v>35</v>
      </c>
      <c r="D4" s="852"/>
      <c r="E4" s="175" t="s">
        <v>710</v>
      </c>
      <c r="G4" s="827" t="s">
        <v>914</v>
      </c>
      <c r="H4" s="827"/>
    </row>
    <row r="5" spans="1:14" ht="15.75" x14ac:dyDescent="0.25">
      <c r="A5" s="381" t="s">
        <v>651</v>
      </c>
      <c r="B5" s="382" t="s">
        <v>786</v>
      </c>
      <c r="C5" s="820" t="s">
        <v>18</v>
      </c>
      <c r="D5" s="820"/>
      <c r="E5" s="232" t="s">
        <v>20</v>
      </c>
      <c r="G5" s="827" t="s">
        <v>915</v>
      </c>
      <c r="H5" s="827"/>
    </row>
    <row r="6" spans="1:14" ht="15.75" x14ac:dyDescent="0.25">
      <c r="A6" s="379" t="s">
        <v>660</v>
      </c>
      <c r="B6" s="380" t="s">
        <v>784</v>
      </c>
      <c r="G6" s="827" t="s">
        <v>916</v>
      </c>
      <c r="H6" s="827"/>
    </row>
    <row r="7" spans="1:14" x14ac:dyDescent="0.25">
      <c r="A7" s="227" t="s">
        <v>1</v>
      </c>
      <c r="B7" s="820" t="s">
        <v>35</v>
      </c>
      <c r="C7" s="820"/>
      <c r="D7" s="820"/>
      <c r="E7" s="820"/>
    </row>
    <row r="8" spans="1:14" x14ac:dyDescent="0.25">
      <c r="A8" s="227" t="s">
        <v>0</v>
      </c>
      <c r="B8" s="820" t="s">
        <v>709</v>
      </c>
      <c r="C8" s="820"/>
      <c r="D8" s="820"/>
      <c r="E8" s="820"/>
    </row>
    <row r="9" spans="1:14" ht="30" x14ac:dyDescent="0.25">
      <c r="A9" s="227" t="s">
        <v>2</v>
      </c>
      <c r="B9" s="890" t="s">
        <v>860</v>
      </c>
      <c r="C9" s="889"/>
      <c r="D9" s="889"/>
      <c r="E9" s="889"/>
      <c r="G9" s="116" t="s">
        <v>602</v>
      </c>
      <c r="H9" s="116" t="s">
        <v>280</v>
      </c>
      <c r="I9" s="116" t="s">
        <v>201</v>
      </c>
      <c r="J9" s="116" t="s">
        <v>603</v>
      </c>
      <c r="K9" s="116" t="s">
        <v>223</v>
      </c>
      <c r="L9" s="116" t="s">
        <v>604</v>
      </c>
    </row>
    <row r="10" spans="1:14" ht="15.75" x14ac:dyDescent="0.25">
      <c r="A10" s="227" t="s">
        <v>31</v>
      </c>
      <c r="B10" s="889" t="s">
        <v>711</v>
      </c>
      <c r="C10" s="889"/>
      <c r="D10" s="889"/>
      <c r="E10" s="889"/>
      <c r="G10" s="361">
        <v>50</v>
      </c>
      <c r="H10" s="361">
        <v>350</v>
      </c>
      <c r="I10" s="361">
        <v>0.86</v>
      </c>
      <c r="J10" s="361">
        <v>7000</v>
      </c>
      <c r="K10" s="361">
        <v>4500</v>
      </c>
      <c r="L10" s="361">
        <v>3.8</v>
      </c>
    </row>
    <row r="11" spans="1:14" x14ac:dyDescent="0.25">
      <c r="A11" s="227" t="s">
        <v>16</v>
      </c>
      <c r="B11" s="874" t="s">
        <v>512</v>
      </c>
      <c r="C11" s="874"/>
      <c r="D11" s="874"/>
      <c r="E11" s="874"/>
    </row>
    <row r="12" spans="1:14" x14ac:dyDescent="0.25">
      <c r="A12" s="227" t="s">
        <v>3</v>
      </c>
      <c r="B12" s="874"/>
      <c r="C12" s="874"/>
      <c r="D12" s="874"/>
      <c r="E12" s="874"/>
    </row>
    <row r="13" spans="1:14" ht="30" customHeight="1" x14ac:dyDescent="0.25">
      <c r="A13" s="227" t="s">
        <v>17</v>
      </c>
      <c r="B13" s="874"/>
      <c r="C13" s="874"/>
      <c r="D13" s="874"/>
      <c r="E13" s="874"/>
      <c r="G13" s="117" t="s">
        <v>282</v>
      </c>
      <c r="H13" s="117" t="s">
        <v>202</v>
      </c>
      <c r="I13" s="117" t="s">
        <v>203</v>
      </c>
      <c r="J13" s="117" t="s">
        <v>188</v>
      </c>
      <c r="K13" s="117" t="s">
        <v>605</v>
      </c>
      <c r="L13" s="117" t="s">
        <v>606</v>
      </c>
      <c r="M13" s="117" t="s">
        <v>607</v>
      </c>
      <c r="N13" s="367" t="s">
        <v>608</v>
      </c>
    </row>
    <row r="14" spans="1:14" x14ac:dyDescent="0.25">
      <c r="A14" s="227" t="s">
        <v>4</v>
      </c>
      <c r="B14" s="874">
        <v>2015</v>
      </c>
      <c r="C14" s="874"/>
      <c r="D14" s="874"/>
      <c r="E14" s="874"/>
      <c r="G14" s="135">
        <f>G10*H10*10</f>
        <v>175000</v>
      </c>
      <c r="H14" s="360">
        <v>0.26100000000000001</v>
      </c>
      <c r="I14" s="360">
        <v>1128</v>
      </c>
      <c r="J14" s="360">
        <v>16402</v>
      </c>
      <c r="K14" s="142">
        <f>H10*10/L10</f>
        <v>921.0526315789474</v>
      </c>
      <c r="L14" s="360">
        <v>8.5999999999999993E-2</v>
      </c>
      <c r="M14" s="360">
        <v>0.2</v>
      </c>
      <c r="N14" s="368">
        <v>800</v>
      </c>
    </row>
    <row r="15" spans="1:14" x14ac:dyDescent="0.25">
      <c r="A15" s="227" t="s">
        <v>5</v>
      </c>
      <c r="B15" s="874">
        <v>2020</v>
      </c>
      <c r="C15" s="874"/>
      <c r="D15" s="874"/>
      <c r="E15" s="874"/>
    </row>
    <row r="16" spans="1:14" x14ac:dyDescent="0.25">
      <c r="A16" s="227" t="s">
        <v>6</v>
      </c>
      <c r="B16" s="845">
        <f>G10*J10</f>
        <v>350000</v>
      </c>
      <c r="C16" s="845"/>
      <c r="D16" s="845"/>
      <c r="E16" s="845"/>
    </row>
    <row r="17" spans="1:8" x14ac:dyDescent="0.25">
      <c r="A17" s="227" t="s">
        <v>7</v>
      </c>
      <c r="B17" s="845">
        <f>G10*N14</f>
        <v>40000</v>
      </c>
      <c r="C17" s="845"/>
      <c r="D17" s="845"/>
      <c r="E17" s="845"/>
      <c r="G17" s="362" t="s">
        <v>608</v>
      </c>
      <c r="H17" s="317">
        <v>800</v>
      </c>
    </row>
    <row r="18" spans="1:8" ht="23.25" x14ac:dyDescent="0.25">
      <c r="A18" s="318" t="s">
        <v>468</v>
      </c>
      <c r="B18" s="981"/>
      <c r="C18" s="982"/>
      <c r="D18" s="982"/>
      <c r="E18" s="982"/>
      <c r="G18" s="2"/>
    </row>
    <row r="19" spans="1:8" ht="23.25" x14ac:dyDescent="0.25">
      <c r="A19" s="319" t="s">
        <v>467</v>
      </c>
      <c r="B19" s="983">
        <f>G10*H10*10/0.92-G10*H10*10/L10</f>
        <v>144164.75972540042</v>
      </c>
      <c r="C19" s="984"/>
      <c r="D19" s="984"/>
      <c r="E19" s="984"/>
      <c r="F19" s="2"/>
      <c r="G19" s="2"/>
    </row>
    <row r="20" spans="1:8" x14ac:dyDescent="0.25">
      <c r="A20" s="227" t="s">
        <v>8</v>
      </c>
      <c r="B20" s="931">
        <f>B19/10*I10-G10*H10*10/L10*M14</f>
        <v>3187.64302059496</v>
      </c>
      <c r="C20" s="931"/>
      <c r="D20" s="931"/>
      <c r="E20" s="931"/>
    </row>
    <row r="21" spans="1:8" x14ac:dyDescent="0.25">
      <c r="A21" s="227" t="s">
        <v>9</v>
      </c>
      <c r="B21" s="845"/>
      <c r="C21" s="845"/>
      <c r="D21" s="845"/>
      <c r="E21" s="845"/>
    </row>
    <row r="22" spans="1:8" x14ac:dyDescent="0.25">
      <c r="A22" s="227" t="s">
        <v>465</v>
      </c>
      <c r="B22" s="846">
        <f>(B16-K10*G10)/(B20+B21)</f>
        <v>39.213926776740919</v>
      </c>
      <c r="C22" s="846"/>
      <c r="D22" s="846"/>
      <c r="E22" s="846"/>
    </row>
    <row r="23" spans="1:8" x14ac:dyDescent="0.25">
      <c r="A23" s="227" t="s">
        <v>466</v>
      </c>
      <c r="B23" s="925">
        <f>(B16-B17-K10*G10)/(B20+B21)</f>
        <v>26.665470208183823</v>
      </c>
      <c r="C23" s="925"/>
      <c r="D23" s="925"/>
      <c r="E23" s="925"/>
    </row>
    <row r="24" spans="1:8" ht="23.25" x14ac:dyDescent="0.25">
      <c r="A24" s="229" t="s">
        <v>476</v>
      </c>
      <c r="B24" s="985">
        <f>B19/1000*H14</f>
        <v>37.627002288329507</v>
      </c>
      <c r="C24" s="985"/>
      <c r="D24" s="985"/>
      <c r="E24" s="985"/>
    </row>
    <row r="25" spans="1:8" x14ac:dyDescent="0.25">
      <c r="A25" s="213" t="s">
        <v>463</v>
      </c>
      <c r="B25" s="986">
        <f>B24/'Objectifs CO2'!C12</f>
        <v>1.0904837419462538E-2</v>
      </c>
      <c r="C25" s="986"/>
      <c r="D25" s="986"/>
      <c r="E25" s="986"/>
    </row>
    <row r="26" spans="1:8" x14ac:dyDescent="0.25">
      <c r="A26" s="213" t="s">
        <v>464</v>
      </c>
      <c r="B26" s="986">
        <f>B24/'Objectifs CO2'!$C$4</f>
        <v>5.4524187097312691E-3</v>
      </c>
      <c r="C26" s="986"/>
      <c r="D26" s="986"/>
      <c r="E26" s="986"/>
    </row>
    <row r="27" spans="1:8" x14ac:dyDescent="0.25">
      <c r="A27" s="213" t="s">
        <v>24</v>
      </c>
      <c r="B27" s="987"/>
      <c r="C27" s="987"/>
      <c r="D27" s="987"/>
      <c r="E27" s="987"/>
    </row>
    <row r="28" spans="1:8" x14ac:dyDescent="0.25">
      <c r="A28" s="213" t="s">
        <v>418</v>
      </c>
      <c r="B28" s="853" t="s">
        <v>847</v>
      </c>
      <c r="C28" s="853"/>
      <c r="D28" s="853"/>
      <c r="E28" s="853"/>
    </row>
  </sheetData>
  <mergeCells count="28">
    <mergeCell ref="B26:E26"/>
    <mergeCell ref="B27:E27"/>
    <mergeCell ref="B28:E28"/>
    <mergeCell ref="B20:E20"/>
    <mergeCell ref="B21:E21"/>
    <mergeCell ref="B22:E22"/>
    <mergeCell ref="B23:E23"/>
    <mergeCell ref="B24:E24"/>
    <mergeCell ref="B25:E25"/>
    <mergeCell ref="B19:E19"/>
    <mergeCell ref="B8:E8"/>
    <mergeCell ref="B9:E9"/>
    <mergeCell ref="B10:E10"/>
    <mergeCell ref="B11:E11"/>
    <mergeCell ref="B12:E12"/>
    <mergeCell ref="B13:E13"/>
    <mergeCell ref="B14:E14"/>
    <mergeCell ref="B15:E15"/>
    <mergeCell ref="B16:E16"/>
    <mergeCell ref="B17:E17"/>
    <mergeCell ref="B18:E18"/>
    <mergeCell ref="B7:E7"/>
    <mergeCell ref="A2:E2"/>
    <mergeCell ref="G4:H4"/>
    <mergeCell ref="C5:D5"/>
    <mergeCell ref="G5:H5"/>
    <mergeCell ref="G6:H6"/>
    <mergeCell ref="C4:D4"/>
  </mergeCells>
  <conditionalFormatting sqref="E5">
    <cfRule type="containsText" dxfId="38" priority="1" operator="containsText" text="Terminé">
      <formula>NOT(ISERROR(SEARCH("Terminé",E5)))</formula>
    </cfRule>
    <cfRule type="containsText" dxfId="37" priority="2" operator="containsText" text="En cours">
      <formula>NOT(ISERROR(SEARCH("En cours",E5)))</formula>
    </cfRule>
    <cfRule type="containsText" dxfId="36" priority="3" operator="containsText" text="A faire">
      <formula>NOT(ISERROR(SEARCH("A faire",E5)))</formula>
    </cfRule>
  </conditionalFormatting>
  <hyperlinks>
    <hyperlink ref="G5" location="'Synthèse CO2'!A1" display="Lien vers Synthèse CO2"/>
    <hyperlink ref="G4" location="'Objectifs CO2'!A1" display="lien vers Objectifs CO2"/>
    <hyperlink ref="G6:H6" location="CALENDRIER!A1" display="Lien vers CALENDRIER"/>
  </hyperlinks>
  <pageMargins left="0.7" right="0.7" top="0.75" bottom="0.75" header="0.3" footer="0.3"/>
  <pageSetup paperSize="9" scale="86" orientation="portrait" r:id="rId1"/>
  <colBreaks count="1" manualBreakCount="1">
    <brk id="5"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8"/>
  <sheetViews>
    <sheetView topLeftCell="B4" zoomScaleNormal="100" zoomScaleSheetLayoutView="220" workbookViewId="0">
      <selection activeCell="G4" sqref="G4:I4"/>
    </sheetView>
  </sheetViews>
  <sheetFormatPr baseColWidth="10" defaultColWidth="11.42578125" defaultRowHeight="15" x14ac:dyDescent="0.25"/>
  <cols>
    <col min="1" max="1" width="40.7109375" style="37" customWidth="1"/>
    <col min="2" max="2" width="16.7109375" style="37" customWidth="1"/>
    <col min="3" max="3" width="18.7109375" style="37" customWidth="1"/>
    <col min="4" max="4" width="5.7109375" style="37" customWidth="1"/>
    <col min="5" max="5" width="18.7109375" style="37" customWidth="1"/>
    <col min="6" max="6" width="1.5703125" style="37" customWidth="1"/>
    <col min="7" max="16384" width="11.42578125" style="37"/>
  </cols>
  <sheetData>
    <row r="1" spans="1:14" ht="21" x14ac:dyDescent="0.35">
      <c r="A1" s="11" t="s">
        <v>87</v>
      </c>
      <c r="B1" s="11"/>
      <c r="C1" s="11"/>
      <c r="D1" s="11"/>
      <c r="E1" s="11"/>
    </row>
    <row r="2" spans="1:14" ht="26.25" x14ac:dyDescent="0.4">
      <c r="A2" s="856" t="s">
        <v>913</v>
      </c>
      <c r="B2" s="856"/>
      <c r="C2" s="856"/>
      <c r="D2" s="856"/>
      <c r="E2" s="856"/>
    </row>
    <row r="3" spans="1:14" ht="27" thickBot="1" x14ac:dyDescent="0.45">
      <c r="A3" s="358"/>
      <c r="B3" s="358"/>
      <c r="C3" s="358"/>
      <c r="D3" s="358"/>
      <c r="E3" s="358"/>
    </row>
    <row r="4" spans="1:14" ht="15.75" thickBot="1" x14ac:dyDescent="0.3">
      <c r="A4" s="12"/>
      <c r="B4" s="233" t="s">
        <v>469</v>
      </c>
      <c r="C4" s="851" t="s">
        <v>35</v>
      </c>
      <c r="D4" s="852"/>
      <c r="E4" s="175" t="s">
        <v>720</v>
      </c>
      <c r="G4" s="827" t="s">
        <v>914</v>
      </c>
      <c r="H4" s="827"/>
    </row>
    <row r="5" spans="1:14" ht="15.75" x14ac:dyDescent="0.25">
      <c r="A5" s="381" t="s">
        <v>651</v>
      </c>
      <c r="B5" s="382" t="s">
        <v>652</v>
      </c>
      <c r="C5" s="820" t="s">
        <v>18</v>
      </c>
      <c r="D5" s="820"/>
      <c r="E5" s="232" t="s">
        <v>19</v>
      </c>
      <c r="G5" s="827" t="s">
        <v>915</v>
      </c>
      <c r="H5" s="827"/>
    </row>
    <row r="6" spans="1:14" ht="15.75" x14ac:dyDescent="0.25">
      <c r="A6" s="379" t="s">
        <v>660</v>
      </c>
      <c r="B6" s="380" t="s">
        <v>398</v>
      </c>
      <c r="G6" s="827" t="s">
        <v>916</v>
      </c>
      <c r="H6" s="827"/>
    </row>
    <row r="7" spans="1:14" x14ac:dyDescent="0.25">
      <c r="A7" s="227" t="s">
        <v>1</v>
      </c>
      <c r="B7" s="820" t="s">
        <v>35</v>
      </c>
      <c r="C7" s="820"/>
      <c r="D7" s="820"/>
      <c r="E7" s="820"/>
    </row>
    <row r="8" spans="1:14" x14ac:dyDescent="0.25">
      <c r="A8" s="227" t="s">
        <v>0</v>
      </c>
      <c r="B8" s="820" t="s">
        <v>712</v>
      </c>
      <c r="C8" s="820"/>
      <c r="D8" s="820"/>
      <c r="E8" s="820"/>
    </row>
    <row r="9" spans="1:14" ht="76.5" customHeight="1" x14ac:dyDescent="0.25">
      <c r="A9" s="227" t="s">
        <v>2</v>
      </c>
      <c r="B9" s="890" t="s">
        <v>735</v>
      </c>
      <c r="C9" s="889"/>
      <c r="D9" s="889"/>
      <c r="E9" s="889"/>
      <c r="G9" s="116" t="s">
        <v>602</v>
      </c>
      <c r="H9" s="116" t="s">
        <v>280</v>
      </c>
      <c r="I9" s="116" t="s">
        <v>201</v>
      </c>
      <c r="J9" s="116" t="s">
        <v>603</v>
      </c>
      <c r="K9" s="116" t="s">
        <v>223</v>
      </c>
      <c r="L9" s="116" t="s">
        <v>604</v>
      </c>
    </row>
    <row r="10" spans="1:14" ht="24.75" customHeight="1" x14ac:dyDescent="0.25">
      <c r="A10" s="227" t="s">
        <v>31</v>
      </c>
      <c r="B10" s="889" t="s">
        <v>713</v>
      </c>
      <c r="C10" s="889"/>
      <c r="D10" s="889"/>
      <c r="E10" s="889"/>
      <c r="G10" s="361">
        <v>1</v>
      </c>
      <c r="H10" s="361">
        <v>5000</v>
      </c>
      <c r="I10" s="361">
        <v>0.86</v>
      </c>
      <c r="J10" s="361">
        <v>8000</v>
      </c>
      <c r="K10" s="361">
        <v>4500</v>
      </c>
      <c r="L10" s="361">
        <v>4.5</v>
      </c>
    </row>
    <row r="11" spans="1:14" ht="25.5" customHeight="1" x14ac:dyDescent="0.25">
      <c r="A11" s="227" t="s">
        <v>16</v>
      </c>
      <c r="B11" s="874" t="s">
        <v>512</v>
      </c>
      <c r="C11" s="874"/>
      <c r="D11" s="874"/>
      <c r="E11" s="874"/>
    </row>
    <row r="12" spans="1:14" ht="25.5" customHeight="1" x14ac:dyDescent="0.25">
      <c r="A12" s="227" t="s">
        <v>3</v>
      </c>
      <c r="B12" s="874"/>
      <c r="C12" s="874"/>
      <c r="D12" s="874"/>
      <c r="E12" s="874"/>
    </row>
    <row r="13" spans="1:14" ht="25.5" customHeight="1" x14ac:dyDescent="0.25">
      <c r="A13" s="227" t="s">
        <v>17</v>
      </c>
      <c r="B13" s="874"/>
      <c r="C13" s="874"/>
      <c r="D13" s="874"/>
      <c r="E13" s="874"/>
      <c r="G13" s="117" t="s">
        <v>282</v>
      </c>
      <c r="H13" s="117" t="s">
        <v>202</v>
      </c>
      <c r="I13" s="117" t="s">
        <v>203</v>
      </c>
      <c r="J13" s="117" t="s">
        <v>188</v>
      </c>
      <c r="K13" s="117" t="s">
        <v>605</v>
      </c>
      <c r="L13" s="117" t="s">
        <v>606</v>
      </c>
      <c r="M13" s="117" t="s">
        <v>607</v>
      </c>
      <c r="N13" s="367" t="s">
        <v>608</v>
      </c>
    </row>
    <row r="14" spans="1:14" ht="25.5" customHeight="1" x14ac:dyDescent="0.25">
      <c r="A14" s="227" t="s">
        <v>4</v>
      </c>
      <c r="B14" s="874">
        <v>2017</v>
      </c>
      <c r="C14" s="874"/>
      <c r="D14" s="874"/>
      <c r="E14" s="874"/>
      <c r="G14" s="135">
        <f>G10*H10*10</f>
        <v>50000</v>
      </c>
      <c r="H14" s="360">
        <v>0.26100000000000001</v>
      </c>
      <c r="I14" s="360">
        <v>1128</v>
      </c>
      <c r="J14" s="360">
        <v>16402</v>
      </c>
      <c r="K14" s="142">
        <f>H10*10/L10</f>
        <v>11111.111111111111</v>
      </c>
      <c r="L14" s="360">
        <v>8.5999999999999993E-2</v>
      </c>
      <c r="M14" s="360">
        <v>0.2</v>
      </c>
      <c r="N14" s="368">
        <v>800</v>
      </c>
    </row>
    <row r="15" spans="1:14" ht="25.5" customHeight="1" x14ac:dyDescent="0.25">
      <c r="A15" s="227" t="s">
        <v>5</v>
      </c>
      <c r="B15" s="874">
        <v>2020</v>
      </c>
      <c r="C15" s="874"/>
      <c r="D15" s="874"/>
      <c r="E15" s="874"/>
    </row>
    <row r="16" spans="1:14" ht="25.5" customHeight="1" x14ac:dyDescent="0.25">
      <c r="A16" s="227" t="s">
        <v>6</v>
      </c>
      <c r="B16" s="845">
        <v>750000</v>
      </c>
      <c r="C16" s="845"/>
      <c r="D16" s="845"/>
      <c r="E16" s="845"/>
    </row>
    <row r="17" spans="1:8" ht="25.5" customHeight="1" x14ac:dyDescent="0.25">
      <c r="A17" s="227" t="s">
        <v>7</v>
      </c>
      <c r="B17" s="845">
        <f>B16*0.2</f>
        <v>150000</v>
      </c>
      <c r="C17" s="845"/>
      <c r="D17" s="845"/>
      <c r="E17" s="845"/>
      <c r="G17" s="362" t="s">
        <v>608</v>
      </c>
      <c r="H17" s="317">
        <v>1200</v>
      </c>
    </row>
    <row r="18" spans="1:8" ht="25.5" customHeight="1" x14ac:dyDescent="0.25">
      <c r="A18" s="318" t="s">
        <v>468</v>
      </c>
      <c r="B18" s="981"/>
      <c r="C18" s="982"/>
      <c r="D18" s="982"/>
      <c r="E18" s="982"/>
      <c r="G18" s="2"/>
    </row>
    <row r="19" spans="1:8" ht="25.5" customHeight="1" x14ac:dyDescent="0.25">
      <c r="A19" s="319" t="s">
        <v>467</v>
      </c>
      <c r="B19" s="983">
        <f>G10*H10*10/0.92-G10*H10*10/L10</f>
        <v>43236.714975845411</v>
      </c>
      <c r="C19" s="984"/>
      <c r="D19" s="984"/>
      <c r="E19" s="984"/>
      <c r="F19" s="2"/>
      <c r="G19" s="2"/>
    </row>
    <row r="20" spans="1:8" ht="25.5" customHeight="1" x14ac:dyDescent="0.25">
      <c r="A20" s="227" t="s">
        <v>8</v>
      </c>
      <c r="B20" s="859">
        <f>B19/10*I10-G10*H10*10/L10*M14</f>
        <v>1496.1352657004827</v>
      </c>
      <c r="C20" s="859"/>
      <c r="D20" s="859"/>
      <c r="E20" s="859"/>
    </row>
    <row r="21" spans="1:8" ht="25.5" customHeight="1" x14ac:dyDescent="0.25">
      <c r="A21" s="227" t="s">
        <v>9</v>
      </c>
      <c r="B21" s="845"/>
      <c r="C21" s="845"/>
      <c r="D21" s="845"/>
      <c r="E21" s="845"/>
    </row>
    <row r="22" spans="1:8" ht="25.5" customHeight="1" x14ac:dyDescent="0.25">
      <c r="A22" s="227" t="s">
        <v>465</v>
      </c>
      <c r="B22" s="846">
        <f>(B16-K10*G10)/(B20+B21)</f>
        <v>498.28382305456904</v>
      </c>
      <c r="C22" s="846"/>
      <c r="D22" s="846"/>
      <c r="E22" s="846"/>
    </row>
    <row r="23" spans="1:8" ht="25.5" customHeight="1" x14ac:dyDescent="0.25">
      <c r="A23" s="227" t="s">
        <v>466</v>
      </c>
      <c r="B23" s="925">
        <f>(B16-B17-K10*G10)/(B20+B21)</f>
        <v>398.02550855666783</v>
      </c>
      <c r="C23" s="925"/>
      <c r="D23" s="925"/>
      <c r="E23" s="925"/>
    </row>
    <row r="24" spans="1:8" ht="25.5" customHeight="1" x14ac:dyDescent="0.25">
      <c r="A24" s="229" t="s">
        <v>476</v>
      </c>
      <c r="B24" s="985">
        <f>B19/1000*H14</f>
        <v>11.284782608695652</v>
      </c>
      <c r="C24" s="985"/>
      <c r="D24" s="985"/>
      <c r="E24" s="985"/>
    </row>
    <row r="25" spans="1:8" ht="25.5" customHeight="1" x14ac:dyDescent="0.25">
      <c r="A25" s="213" t="s">
        <v>463</v>
      </c>
      <c r="B25" s="986">
        <f>B24/'Objectifs CO2'!C12</f>
        <v>3.2704895999640304E-3</v>
      </c>
      <c r="C25" s="986"/>
      <c r="D25" s="986"/>
      <c r="E25" s="986"/>
    </row>
    <row r="26" spans="1:8" ht="25.5" customHeight="1" x14ac:dyDescent="0.25">
      <c r="A26" s="213" t="s">
        <v>464</v>
      </c>
      <c r="B26" s="986">
        <f>B24/'Objectifs CO2'!$C$8</f>
        <v>1.6352447999820152E-3</v>
      </c>
      <c r="C26" s="986"/>
      <c r="D26" s="986"/>
      <c r="E26" s="986"/>
    </row>
    <row r="27" spans="1:8" ht="25.5" customHeight="1" x14ac:dyDescent="0.25">
      <c r="A27" s="213" t="s">
        <v>24</v>
      </c>
      <c r="B27" s="987"/>
      <c r="C27" s="987"/>
      <c r="D27" s="987"/>
      <c r="E27" s="987"/>
    </row>
    <row r="28" spans="1:8" ht="25.5" customHeight="1" x14ac:dyDescent="0.25">
      <c r="A28" s="213" t="s">
        <v>418</v>
      </c>
      <c r="B28" s="853"/>
      <c r="C28" s="853"/>
      <c r="D28" s="853"/>
      <c r="E28" s="853"/>
    </row>
  </sheetData>
  <mergeCells count="28">
    <mergeCell ref="B26:E26"/>
    <mergeCell ref="B27:E27"/>
    <mergeCell ref="B28:E28"/>
    <mergeCell ref="B20:E20"/>
    <mergeCell ref="B21:E21"/>
    <mergeCell ref="B22:E22"/>
    <mergeCell ref="B23:E23"/>
    <mergeCell ref="B24:E24"/>
    <mergeCell ref="B25:E25"/>
    <mergeCell ref="B19:E19"/>
    <mergeCell ref="B8:E8"/>
    <mergeCell ref="B9:E9"/>
    <mergeCell ref="B10:E10"/>
    <mergeCell ref="B11:E11"/>
    <mergeCell ref="B12:E12"/>
    <mergeCell ref="B13:E13"/>
    <mergeCell ref="B14:E14"/>
    <mergeCell ref="B15:E15"/>
    <mergeCell ref="B16:E16"/>
    <mergeCell ref="B17:E17"/>
    <mergeCell ref="B18:E18"/>
    <mergeCell ref="B7:E7"/>
    <mergeCell ref="A2:E2"/>
    <mergeCell ref="G4:H4"/>
    <mergeCell ref="C5:D5"/>
    <mergeCell ref="G5:H5"/>
    <mergeCell ref="G6:H6"/>
    <mergeCell ref="C4:D4"/>
  </mergeCells>
  <conditionalFormatting sqref="E5">
    <cfRule type="containsText" dxfId="35" priority="1" operator="containsText" text="Terminé">
      <formula>NOT(ISERROR(SEARCH("Terminé",E5)))</formula>
    </cfRule>
    <cfRule type="containsText" dxfId="34" priority="2" operator="containsText" text="En cours">
      <formula>NOT(ISERROR(SEARCH("En cours",E5)))</formula>
    </cfRule>
    <cfRule type="containsText" dxfId="33" priority="3" operator="containsText" text="A faire">
      <formula>NOT(ISERROR(SEARCH("A faire",E5)))</formula>
    </cfRule>
  </conditionalFormatting>
  <hyperlinks>
    <hyperlink ref="G5" location="'Synthèse CO2'!A1" display="Lien vers Synthèse CO2"/>
    <hyperlink ref="G4" location="'Objectifs CO2'!A1" display="lien vers Objectifs CO2"/>
    <hyperlink ref="G6:H6" location="CALENDRIER!A1" display="Lien vers CALENDRIER"/>
  </hyperlinks>
  <pageMargins left="0.7" right="0.7" top="0.75" bottom="0.75" header="0.3" footer="0.3"/>
  <pageSetup paperSize="9" scale="86" orientation="portrait" r:id="rId1"/>
  <colBreaks count="1" manualBreakCount="1">
    <brk id="5"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8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M44"/>
  <sheetViews>
    <sheetView topLeftCell="A8" zoomScaleNormal="100" zoomScaleSheetLayoutView="220" workbookViewId="0">
      <selection activeCell="I16" sqref="I16"/>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3" ht="21" x14ac:dyDescent="0.35">
      <c r="A1" s="11" t="s">
        <v>87</v>
      </c>
      <c r="B1" s="11"/>
      <c r="C1" s="11"/>
      <c r="D1" s="11"/>
      <c r="E1" s="11"/>
    </row>
    <row r="2" spans="1:13" ht="26.25" x14ac:dyDescent="0.4">
      <c r="A2" s="856" t="s">
        <v>913</v>
      </c>
      <c r="B2" s="856"/>
      <c r="C2" s="856"/>
      <c r="D2" s="856"/>
      <c r="E2" s="856"/>
    </row>
    <row r="3" spans="1:13" ht="27" thickBot="1" x14ac:dyDescent="0.45">
      <c r="A3" s="206"/>
      <c r="B3" s="206"/>
      <c r="C3" s="206"/>
      <c r="D3" s="206"/>
      <c r="E3" s="206"/>
    </row>
    <row r="4" spans="1:13" ht="24" customHeight="1" thickBot="1" x14ac:dyDescent="0.3">
      <c r="A4" s="12"/>
      <c r="B4" s="233" t="s">
        <v>469</v>
      </c>
      <c r="C4" s="851" t="s">
        <v>611</v>
      </c>
      <c r="D4" s="852"/>
      <c r="E4" s="175" t="s">
        <v>480</v>
      </c>
      <c r="G4" s="848" t="s">
        <v>914</v>
      </c>
      <c r="H4" s="848"/>
      <c r="I4" s="848"/>
    </row>
    <row r="5" spans="1:13" ht="24" customHeight="1" x14ac:dyDescent="0.25">
      <c r="A5" s="381" t="s">
        <v>651</v>
      </c>
      <c r="B5" s="382" t="s">
        <v>50</v>
      </c>
      <c r="C5" s="820" t="s">
        <v>18</v>
      </c>
      <c r="D5" s="820"/>
      <c r="E5" s="232" t="s">
        <v>21</v>
      </c>
      <c r="G5" s="848" t="s">
        <v>915</v>
      </c>
      <c r="H5" s="848"/>
      <c r="I5" s="848"/>
    </row>
    <row r="6" spans="1:13" ht="16.5" thickBot="1" x14ac:dyDescent="0.3">
      <c r="A6" s="379" t="s">
        <v>660</v>
      </c>
      <c r="B6" s="380" t="s">
        <v>398</v>
      </c>
      <c r="G6" s="850" t="s">
        <v>916</v>
      </c>
      <c r="H6" s="850"/>
      <c r="I6" s="850"/>
    </row>
    <row r="7" spans="1:13" ht="15.75" thickBot="1" x14ac:dyDescent="0.3">
      <c r="A7" s="207" t="s">
        <v>1</v>
      </c>
      <c r="B7" s="820" t="s">
        <v>581</v>
      </c>
      <c r="C7" s="820"/>
      <c r="D7" s="820"/>
      <c r="E7" s="820"/>
    </row>
    <row r="8" spans="1:13" ht="15.75" thickBot="1" x14ac:dyDescent="0.3">
      <c r="A8" s="207" t="s">
        <v>0</v>
      </c>
      <c r="B8" s="820" t="s">
        <v>582</v>
      </c>
      <c r="C8" s="820"/>
      <c r="D8" s="820"/>
      <c r="E8" s="820"/>
    </row>
    <row r="9" spans="1:13" ht="30" x14ac:dyDescent="0.25">
      <c r="A9" s="208" t="s">
        <v>2</v>
      </c>
      <c r="B9" s="890" t="s">
        <v>861</v>
      </c>
      <c r="C9" s="889"/>
      <c r="D9" s="889"/>
      <c r="E9" s="889"/>
      <c r="G9" s="275" t="s">
        <v>138</v>
      </c>
      <c r="H9" s="275" t="s">
        <v>583</v>
      </c>
      <c r="I9" s="278" t="s">
        <v>584</v>
      </c>
      <c r="J9" s="278" t="s">
        <v>585</v>
      </c>
      <c r="K9" s="278" t="s">
        <v>160</v>
      </c>
      <c r="L9" s="279" t="s">
        <v>586</v>
      </c>
      <c r="M9" s="278" t="s">
        <v>587</v>
      </c>
    </row>
    <row r="10" spans="1:13" ht="143.25" customHeight="1" x14ac:dyDescent="0.25">
      <c r="A10" s="208" t="s">
        <v>31</v>
      </c>
      <c r="B10" s="890" t="s">
        <v>789</v>
      </c>
      <c r="C10" s="889"/>
      <c r="D10" s="889"/>
      <c r="E10" s="889"/>
      <c r="G10" s="275">
        <v>0.8</v>
      </c>
      <c r="H10" s="275">
        <v>2</v>
      </c>
      <c r="I10" s="278">
        <f>G10*H10</f>
        <v>1.6</v>
      </c>
      <c r="J10" s="278">
        <f>I10*100</f>
        <v>160</v>
      </c>
      <c r="K10" s="278">
        <v>0.26100000000000001</v>
      </c>
      <c r="L10" s="280">
        <v>15</v>
      </c>
      <c r="M10" s="278">
        <v>0.7</v>
      </c>
    </row>
    <row r="11" spans="1:13" ht="30" customHeight="1" x14ac:dyDescent="0.25">
      <c r="A11" s="209" t="s">
        <v>16</v>
      </c>
      <c r="B11" s="874" t="s">
        <v>86</v>
      </c>
      <c r="C11" s="874"/>
      <c r="D11" s="874"/>
      <c r="E11" s="874"/>
    </row>
    <row r="12" spans="1:13" ht="30" customHeight="1" x14ac:dyDescent="0.25">
      <c r="A12" s="209" t="s">
        <v>3</v>
      </c>
      <c r="B12" s="874"/>
      <c r="C12" s="874"/>
      <c r="D12" s="874"/>
      <c r="E12" s="874"/>
      <c r="H12" s="278" t="s">
        <v>588</v>
      </c>
      <c r="I12" s="278" t="s">
        <v>589</v>
      </c>
      <c r="J12" s="278" t="s">
        <v>590</v>
      </c>
      <c r="K12" s="278" t="s">
        <v>591</v>
      </c>
    </row>
    <row r="13" spans="1:13" ht="30" customHeight="1" x14ac:dyDescent="0.25">
      <c r="A13" s="209" t="s">
        <v>17</v>
      </c>
      <c r="B13" s="874"/>
      <c r="C13" s="874"/>
      <c r="D13" s="874"/>
      <c r="E13" s="874"/>
      <c r="H13" s="281">
        <v>100</v>
      </c>
      <c r="I13" s="281">
        <f>G10*H13</f>
        <v>80</v>
      </c>
      <c r="J13" s="282">
        <f>I13*K13</f>
        <v>72</v>
      </c>
      <c r="K13" s="281">
        <v>0.9</v>
      </c>
    </row>
    <row r="14" spans="1:13" ht="30" customHeight="1" x14ac:dyDescent="0.25">
      <c r="A14" s="209" t="s">
        <v>4</v>
      </c>
      <c r="B14" s="874">
        <v>2016</v>
      </c>
      <c r="C14" s="874"/>
      <c r="D14" s="874"/>
      <c r="E14" s="874"/>
    </row>
    <row r="15" spans="1:13" ht="30" customHeight="1" x14ac:dyDescent="0.25">
      <c r="A15" s="209" t="s">
        <v>5</v>
      </c>
      <c r="B15" s="874">
        <v>2020</v>
      </c>
      <c r="C15" s="874"/>
      <c r="D15" s="874"/>
      <c r="E15" s="874"/>
      <c r="G15" s="37" t="s">
        <v>1000</v>
      </c>
      <c r="H15" s="37">
        <v>1</v>
      </c>
      <c r="I15" s="37" t="s">
        <v>138</v>
      </c>
    </row>
    <row r="16" spans="1:13" ht="30" customHeight="1" x14ac:dyDescent="0.25">
      <c r="A16" s="209" t="s">
        <v>6</v>
      </c>
      <c r="B16" s="845">
        <f>G10*1000*L10</f>
        <v>12000</v>
      </c>
      <c r="C16" s="845"/>
      <c r="D16" s="845"/>
      <c r="E16" s="845"/>
    </row>
    <row r="17" spans="1:9" ht="30" customHeight="1" x14ac:dyDescent="0.25">
      <c r="A17" s="209" t="s">
        <v>7</v>
      </c>
      <c r="B17" s="845">
        <f>B16*M10</f>
        <v>8400</v>
      </c>
      <c r="C17" s="845"/>
      <c r="D17" s="845"/>
      <c r="E17" s="845"/>
    </row>
    <row r="18" spans="1:9" ht="30" customHeight="1" x14ac:dyDescent="0.25">
      <c r="A18" s="276" t="s">
        <v>468</v>
      </c>
      <c r="B18" s="989"/>
      <c r="C18" s="990"/>
      <c r="D18" s="990"/>
      <c r="E18" s="990"/>
      <c r="G18" s="2"/>
      <c r="H18" s="2"/>
    </row>
    <row r="19" spans="1:9" ht="30" customHeight="1" x14ac:dyDescent="0.25">
      <c r="A19" s="277" t="s">
        <v>467</v>
      </c>
      <c r="B19" s="991">
        <f>J10*10</f>
        <v>1600</v>
      </c>
      <c r="C19" s="992"/>
      <c r="D19" s="992"/>
      <c r="E19" s="992"/>
    </row>
    <row r="20" spans="1:9" ht="30" customHeight="1" x14ac:dyDescent="0.25">
      <c r="A20" s="209" t="s">
        <v>8</v>
      </c>
      <c r="B20" s="845">
        <v>1</v>
      </c>
      <c r="C20" s="845"/>
      <c r="D20" s="845"/>
      <c r="E20" s="845"/>
    </row>
    <row r="21" spans="1:9" ht="30" customHeight="1" x14ac:dyDescent="0.25">
      <c r="A21" s="209" t="s">
        <v>9</v>
      </c>
      <c r="B21" s="874"/>
      <c r="C21" s="874"/>
      <c r="D21" s="874"/>
      <c r="E21" s="874"/>
    </row>
    <row r="22" spans="1:9" ht="30" customHeight="1" x14ac:dyDescent="0.25">
      <c r="A22" s="209" t="s">
        <v>465</v>
      </c>
      <c r="B22" s="846">
        <f>B16/(B20+B21)</f>
        <v>12000</v>
      </c>
      <c r="C22" s="846"/>
      <c r="D22" s="846"/>
      <c r="E22" s="846"/>
    </row>
    <row r="23" spans="1:9" ht="30" customHeight="1" x14ac:dyDescent="0.25">
      <c r="A23" s="209" t="s">
        <v>466</v>
      </c>
      <c r="B23" s="925">
        <f>(B16-B17)/(B20+B21)</f>
        <v>3600</v>
      </c>
      <c r="C23" s="925"/>
      <c r="D23" s="925"/>
      <c r="E23" s="925"/>
    </row>
    <row r="24" spans="1:9" ht="30" customHeight="1" x14ac:dyDescent="0.25">
      <c r="A24" s="220" t="s">
        <v>476</v>
      </c>
      <c r="B24" s="993">
        <f>B19/1000*K10+J13</f>
        <v>72.417599999999993</v>
      </c>
      <c r="C24" s="993"/>
      <c r="D24" s="993"/>
      <c r="E24" s="993"/>
      <c r="F24" s="37">
        <v>0.26100000000000001</v>
      </c>
    </row>
    <row r="25" spans="1:9" ht="30" customHeight="1" x14ac:dyDescent="0.25">
      <c r="A25" s="212" t="s">
        <v>463</v>
      </c>
      <c r="B25" s="994">
        <f>B24/'Objectifs CO2'!C9</f>
        <v>0.20987644677519432</v>
      </c>
      <c r="C25" s="994"/>
      <c r="D25" s="994"/>
      <c r="E25" s="994"/>
    </row>
    <row r="26" spans="1:9" ht="30" customHeight="1" x14ac:dyDescent="0.25">
      <c r="A26" s="213" t="s">
        <v>464</v>
      </c>
      <c r="B26" s="995">
        <f>B24/'Objectifs CO2'!C8</f>
        <v>1.0493822338759716E-2</v>
      </c>
      <c r="C26" s="995"/>
      <c r="D26" s="995"/>
      <c r="E26" s="995"/>
    </row>
    <row r="27" spans="1:9" ht="30" customHeight="1" x14ac:dyDescent="0.25">
      <c r="A27" s="213" t="s">
        <v>24</v>
      </c>
      <c r="B27" s="853"/>
      <c r="C27" s="853"/>
      <c r="D27" s="853"/>
      <c r="E27" s="853"/>
    </row>
    <row r="28" spans="1:9" ht="30" customHeight="1" x14ac:dyDescent="0.25">
      <c r="A28" s="231" t="s">
        <v>418</v>
      </c>
      <c r="B28" s="853"/>
      <c r="C28" s="853"/>
      <c r="D28" s="853"/>
      <c r="E28" s="853"/>
    </row>
    <row r="30" spans="1:9" x14ac:dyDescent="0.25">
      <c r="B30" s="867" t="s">
        <v>530</v>
      </c>
      <c r="C30" s="867"/>
      <c r="D30" s="867"/>
      <c r="E30" s="143" t="s">
        <v>538</v>
      </c>
    </row>
    <row r="31" spans="1:9" x14ac:dyDescent="0.25">
      <c r="B31" s="864" t="s">
        <v>521</v>
      </c>
      <c r="C31" s="864"/>
      <c r="D31" s="864"/>
      <c r="E31" s="114"/>
      <c r="G31" s="866" t="s">
        <v>538</v>
      </c>
      <c r="H31" s="866"/>
      <c r="I31" s="866"/>
    </row>
    <row r="32" spans="1:9" x14ac:dyDescent="0.25">
      <c r="B32" s="864" t="s">
        <v>522</v>
      </c>
      <c r="C32" s="864"/>
      <c r="D32" s="864"/>
      <c r="E32" s="114"/>
      <c r="G32" s="252">
        <v>3</v>
      </c>
      <c r="H32" s="866" t="s">
        <v>535</v>
      </c>
      <c r="I32" s="866"/>
    </row>
    <row r="33" spans="2:9" x14ac:dyDescent="0.25">
      <c r="B33" s="864" t="s">
        <v>524</v>
      </c>
      <c r="C33" s="864"/>
      <c r="D33" s="864"/>
      <c r="E33" s="114"/>
      <c r="G33" s="252">
        <v>2</v>
      </c>
      <c r="H33" s="866" t="s">
        <v>536</v>
      </c>
      <c r="I33" s="866"/>
    </row>
    <row r="34" spans="2:9" x14ac:dyDescent="0.25">
      <c r="B34" s="864" t="s">
        <v>523</v>
      </c>
      <c r="C34" s="864"/>
      <c r="D34" s="864"/>
      <c r="E34" s="114"/>
      <c r="G34" s="252">
        <v>1</v>
      </c>
      <c r="H34" s="866" t="s">
        <v>537</v>
      </c>
      <c r="I34" s="866"/>
    </row>
    <row r="35" spans="2:9" x14ac:dyDescent="0.25">
      <c r="B35" s="864" t="s">
        <v>525</v>
      </c>
      <c r="C35" s="864"/>
      <c r="D35" s="864"/>
      <c r="E35" s="114"/>
    </row>
    <row r="36" spans="2:9" x14ac:dyDescent="0.25">
      <c r="B36" s="864" t="s">
        <v>526</v>
      </c>
      <c r="C36" s="864"/>
      <c r="D36" s="864"/>
      <c r="E36" s="114"/>
    </row>
    <row r="37" spans="2:9" x14ac:dyDescent="0.25">
      <c r="B37" s="864" t="s">
        <v>527</v>
      </c>
      <c r="C37" s="864"/>
      <c r="D37" s="864"/>
      <c r="E37" s="114"/>
    </row>
    <row r="38" spans="2:9" x14ac:dyDescent="0.25">
      <c r="B38" s="864" t="s">
        <v>528</v>
      </c>
      <c r="C38" s="864"/>
      <c r="D38" s="864"/>
      <c r="E38" s="114"/>
    </row>
    <row r="39" spans="2:9" x14ac:dyDescent="0.25">
      <c r="B39" s="864" t="s">
        <v>529</v>
      </c>
      <c r="C39" s="864"/>
      <c r="D39" s="864"/>
      <c r="E39" s="114"/>
      <c r="G39" s="863" t="s">
        <v>541</v>
      </c>
      <c r="H39" s="863"/>
      <c r="I39" s="863"/>
    </row>
    <row r="40" spans="2:9" x14ac:dyDescent="0.25">
      <c r="B40" s="865" t="s">
        <v>395</v>
      </c>
      <c r="C40" s="865"/>
      <c r="D40" s="865"/>
      <c r="E40" s="258">
        <f>SUM(E31:E39)</f>
        <v>0</v>
      </c>
      <c r="G40" s="254" t="s">
        <v>542</v>
      </c>
      <c r="H40" s="257" t="s">
        <v>543</v>
      </c>
      <c r="I40" s="254" t="s">
        <v>544</v>
      </c>
    </row>
    <row r="41" spans="2:9" x14ac:dyDescent="0.25">
      <c r="E41" s="202" t="s">
        <v>576</v>
      </c>
      <c r="G41" s="254" t="s">
        <v>545</v>
      </c>
      <c r="H41" s="254" t="s">
        <v>547</v>
      </c>
      <c r="I41" s="254" t="s">
        <v>546</v>
      </c>
    </row>
    <row r="43" spans="2:9" x14ac:dyDescent="0.25">
      <c r="B43" s="860" t="s">
        <v>520</v>
      </c>
      <c r="C43" s="861"/>
      <c r="D43" s="862"/>
      <c r="E43" s="251">
        <v>1</v>
      </c>
      <c r="G43" s="254">
        <v>1</v>
      </c>
      <c r="H43" s="254" t="s">
        <v>539</v>
      </c>
    </row>
    <row r="44" spans="2:9" x14ac:dyDescent="0.25">
      <c r="G44" s="254">
        <v>0</v>
      </c>
      <c r="H44" s="254" t="s">
        <v>540</v>
      </c>
    </row>
  </sheetData>
  <mergeCells count="45">
    <mergeCell ref="G6:I6"/>
    <mergeCell ref="B16:E16"/>
    <mergeCell ref="A2:E2"/>
    <mergeCell ref="C5:D5"/>
    <mergeCell ref="B7:E7"/>
    <mergeCell ref="B8:E8"/>
    <mergeCell ref="B9:E9"/>
    <mergeCell ref="B10:E10"/>
    <mergeCell ref="B11:E11"/>
    <mergeCell ref="B12:E12"/>
    <mergeCell ref="B13:E13"/>
    <mergeCell ref="B14:E14"/>
    <mergeCell ref="B15:E15"/>
    <mergeCell ref="C4:D4"/>
    <mergeCell ref="G31:I31"/>
    <mergeCell ref="B32:D32"/>
    <mergeCell ref="H32:I32"/>
    <mergeCell ref="B28:E28"/>
    <mergeCell ref="B17:E17"/>
    <mergeCell ref="B18:E18"/>
    <mergeCell ref="B19:E19"/>
    <mergeCell ref="B20:E20"/>
    <mergeCell ref="B21:E21"/>
    <mergeCell ref="B22:E22"/>
    <mergeCell ref="B23:E23"/>
    <mergeCell ref="B24:E24"/>
    <mergeCell ref="B25:E25"/>
    <mergeCell ref="B26:E26"/>
    <mergeCell ref="B27:E27"/>
    <mergeCell ref="B43:D43"/>
    <mergeCell ref="G4:I4"/>
    <mergeCell ref="G5:I5"/>
    <mergeCell ref="G39:I39"/>
    <mergeCell ref="B36:D36"/>
    <mergeCell ref="B37:D37"/>
    <mergeCell ref="B38:D38"/>
    <mergeCell ref="B39:D39"/>
    <mergeCell ref="B40:D40"/>
    <mergeCell ref="B33:D33"/>
    <mergeCell ref="H33:I33"/>
    <mergeCell ref="B34:D34"/>
    <mergeCell ref="H34:I34"/>
    <mergeCell ref="B35:D35"/>
    <mergeCell ref="B30:D30"/>
    <mergeCell ref="B31:D31"/>
  </mergeCells>
  <conditionalFormatting sqref="E5">
    <cfRule type="containsText" dxfId="32" priority="1" operator="containsText" text="Terminé">
      <formula>NOT(ISERROR(SEARCH("Terminé",E5)))</formula>
    </cfRule>
    <cfRule type="containsText" dxfId="31" priority="2" operator="containsText" text="En cours">
      <formula>NOT(ISERROR(SEARCH("En cours",E5)))</formula>
    </cfRule>
    <cfRule type="containsText" dxfId="30"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pageSetup paperSize="9" scale="85" orientation="portrait" r:id="rId1"/>
  <colBreaks count="1" manualBreakCount="1">
    <brk id="5" max="1048575" man="1"/>
  </col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8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M44"/>
  <sheetViews>
    <sheetView topLeftCell="A16" workbookViewId="0">
      <selection activeCell="G11" sqref="G11"/>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3" ht="21" x14ac:dyDescent="0.35">
      <c r="A1" s="11" t="s">
        <v>87</v>
      </c>
      <c r="B1" s="11"/>
      <c r="C1" s="11"/>
      <c r="D1" s="11"/>
      <c r="E1" s="11"/>
    </row>
    <row r="2" spans="1:13" ht="26.25" x14ac:dyDescent="0.4">
      <c r="A2" s="856" t="s">
        <v>913</v>
      </c>
      <c r="B2" s="856"/>
      <c r="C2" s="856"/>
      <c r="D2" s="856"/>
      <c r="E2" s="856"/>
    </row>
    <row r="3" spans="1:13" ht="27" thickBot="1" x14ac:dyDescent="0.45">
      <c r="A3" s="633"/>
      <c r="B3" s="633"/>
      <c r="C3" s="633"/>
      <c r="D3" s="633"/>
      <c r="E3" s="633"/>
    </row>
    <row r="4" spans="1:13" ht="24" customHeight="1" thickBot="1" x14ac:dyDescent="0.3">
      <c r="A4" s="12"/>
      <c r="B4" s="233" t="s">
        <v>469</v>
      </c>
      <c r="C4" s="851" t="s">
        <v>39</v>
      </c>
      <c r="D4" s="852"/>
      <c r="E4" s="175" t="s">
        <v>905</v>
      </c>
      <c r="G4" s="848" t="s">
        <v>914</v>
      </c>
      <c r="H4" s="848"/>
      <c r="I4" s="848"/>
    </row>
    <row r="5" spans="1:13" ht="24" customHeight="1" x14ac:dyDescent="0.25">
      <c r="A5" s="381" t="s">
        <v>651</v>
      </c>
      <c r="B5" s="382" t="s">
        <v>50</v>
      </c>
      <c r="C5" s="820" t="s">
        <v>18</v>
      </c>
      <c r="D5" s="820"/>
      <c r="E5" s="232" t="s">
        <v>19</v>
      </c>
      <c r="G5" s="848" t="s">
        <v>915</v>
      </c>
      <c r="H5" s="848"/>
      <c r="I5" s="848"/>
    </row>
    <row r="6" spans="1:13" ht="16.5" thickBot="1" x14ac:dyDescent="0.3">
      <c r="A6" s="379" t="s">
        <v>660</v>
      </c>
      <c r="B6" s="380" t="s">
        <v>398</v>
      </c>
      <c r="G6" s="850" t="s">
        <v>916</v>
      </c>
      <c r="H6" s="850"/>
      <c r="I6" s="850"/>
    </row>
    <row r="7" spans="1:13" ht="15.75" thickBot="1" x14ac:dyDescent="0.3">
      <c r="A7" s="207" t="s">
        <v>1</v>
      </c>
      <c r="B7" s="820" t="s">
        <v>581</v>
      </c>
      <c r="C7" s="820"/>
      <c r="D7" s="820"/>
      <c r="E7" s="820"/>
    </row>
    <row r="8" spans="1:13" ht="15.75" thickBot="1" x14ac:dyDescent="0.3">
      <c r="A8" s="207" t="s">
        <v>0</v>
      </c>
      <c r="B8" s="820" t="s">
        <v>582</v>
      </c>
      <c r="C8" s="820"/>
      <c r="D8" s="820"/>
      <c r="E8" s="820"/>
    </row>
    <row r="9" spans="1:13" ht="30" x14ac:dyDescent="0.25">
      <c r="A9" s="208" t="s">
        <v>2</v>
      </c>
      <c r="B9" s="890" t="s">
        <v>861</v>
      </c>
      <c r="C9" s="889"/>
      <c r="D9" s="889"/>
      <c r="E9" s="889"/>
      <c r="G9" s="275" t="s">
        <v>138</v>
      </c>
      <c r="H9" s="275" t="s">
        <v>583</v>
      </c>
      <c r="I9" s="278" t="s">
        <v>584</v>
      </c>
      <c r="J9" s="278" t="s">
        <v>585</v>
      </c>
      <c r="K9" s="278" t="s">
        <v>160</v>
      </c>
      <c r="L9" s="279" t="s">
        <v>586</v>
      </c>
      <c r="M9" s="278" t="s">
        <v>587</v>
      </c>
    </row>
    <row r="10" spans="1:13" ht="143.25" customHeight="1" x14ac:dyDescent="0.25">
      <c r="A10" s="208" t="s">
        <v>31</v>
      </c>
      <c r="B10" s="890" t="s">
        <v>789</v>
      </c>
      <c r="C10" s="889"/>
      <c r="D10" s="889"/>
      <c r="E10" s="889"/>
      <c r="G10" s="275">
        <v>1</v>
      </c>
      <c r="H10" s="275">
        <v>2</v>
      </c>
      <c r="I10" s="278">
        <f>G10*H10</f>
        <v>2</v>
      </c>
      <c r="J10" s="278">
        <f>I10*100</f>
        <v>200</v>
      </c>
      <c r="K10" s="278">
        <v>0.26100000000000001</v>
      </c>
      <c r="L10" s="280">
        <v>15</v>
      </c>
      <c r="M10" s="278">
        <v>0.7</v>
      </c>
    </row>
    <row r="11" spans="1:13" ht="30" customHeight="1" x14ac:dyDescent="0.25">
      <c r="A11" s="209" t="s">
        <v>16</v>
      </c>
      <c r="B11" s="874" t="s">
        <v>39</v>
      </c>
      <c r="C11" s="874"/>
      <c r="D11" s="874"/>
      <c r="E11" s="874"/>
    </row>
    <row r="12" spans="1:13" ht="30" customHeight="1" x14ac:dyDescent="0.25">
      <c r="A12" s="209" t="s">
        <v>3</v>
      </c>
      <c r="B12" s="874"/>
      <c r="C12" s="874"/>
      <c r="D12" s="874"/>
      <c r="E12" s="874"/>
      <c r="H12" s="278" t="s">
        <v>588</v>
      </c>
      <c r="I12" s="278" t="s">
        <v>589</v>
      </c>
      <c r="J12" s="278" t="s">
        <v>590</v>
      </c>
      <c r="K12" s="278" t="s">
        <v>591</v>
      </c>
    </row>
    <row r="13" spans="1:13" ht="30" customHeight="1" x14ac:dyDescent="0.25">
      <c r="A13" s="209" t="s">
        <v>17</v>
      </c>
      <c r="B13" s="874"/>
      <c r="C13" s="874"/>
      <c r="D13" s="874"/>
      <c r="E13" s="874"/>
      <c r="H13" s="281">
        <v>100</v>
      </c>
      <c r="I13" s="281">
        <f>G10*H13</f>
        <v>100</v>
      </c>
      <c r="J13" s="282">
        <f>I13*K13</f>
        <v>90</v>
      </c>
      <c r="K13" s="281">
        <v>0.9</v>
      </c>
    </row>
    <row r="14" spans="1:13" ht="30" customHeight="1" x14ac:dyDescent="0.25">
      <c r="A14" s="209" t="s">
        <v>4</v>
      </c>
      <c r="B14" s="874">
        <v>2016</v>
      </c>
      <c r="C14" s="874"/>
      <c r="D14" s="874"/>
      <c r="E14" s="874"/>
    </row>
    <row r="15" spans="1:13" ht="30" customHeight="1" x14ac:dyDescent="0.25">
      <c r="A15" s="209" t="s">
        <v>5</v>
      </c>
      <c r="B15" s="874">
        <v>2020</v>
      </c>
      <c r="C15" s="874"/>
      <c r="D15" s="874"/>
      <c r="E15" s="874"/>
    </row>
    <row r="16" spans="1:13" ht="30" customHeight="1" x14ac:dyDescent="0.25">
      <c r="A16" s="209" t="s">
        <v>6</v>
      </c>
      <c r="B16" s="845">
        <f>G10*1000*L10</f>
        <v>15000</v>
      </c>
      <c r="C16" s="845"/>
      <c r="D16" s="845"/>
      <c r="E16" s="845"/>
    </row>
    <row r="17" spans="1:9" ht="30" customHeight="1" x14ac:dyDescent="0.25">
      <c r="A17" s="209" t="s">
        <v>7</v>
      </c>
      <c r="B17" s="845">
        <f>B16*M10</f>
        <v>10500</v>
      </c>
      <c r="C17" s="845"/>
      <c r="D17" s="845"/>
      <c r="E17" s="845"/>
    </row>
    <row r="18" spans="1:9" ht="30" customHeight="1" x14ac:dyDescent="0.25">
      <c r="A18" s="276" t="s">
        <v>468</v>
      </c>
      <c r="B18" s="989"/>
      <c r="C18" s="990"/>
      <c r="D18" s="990"/>
      <c r="E18" s="990"/>
      <c r="G18" s="2"/>
      <c r="H18" s="2"/>
    </row>
    <row r="19" spans="1:9" ht="30" customHeight="1" x14ac:dyDescent="0.25">
      <c r="A19" s="277" t="s">
        <v>467</v>
      </c>
      <c r="B19" s="991">
        <f>J10*10</f>
        <v>2000</v>
      </c>
      <c r="C19" s="992"/>
      <c r="D19" s="992"/>
      <c r="E19" s="992"/>
    </row>
    <row r="20" spans="1:9" ht="30" customHeight="1" x14ac:dyDescent="0.25">
      <c r="A20" s="209" t="s">
        <v>8</v>
      </c>
      <c r="B20" s="845">
        <v>1</v>
      </c>
      <c r="C20" s="845"/>
      <c r="D20" s="845"/>
      <c r="E20" s="845"/>
    </row>
    <row r="21" spans="1:9" ht="30" customHeight="1" x14ac:dyDescent="0.25">
      <c r="A21" s="209" t="s">
        <v>9</v>
      </c>
      <c r="B21" s="874"/>
      <c r="C21" s="874"/>
      <c r="D21" s="874"/>
      <c r="E21" s="874"/>
    </row>
    <row r="22" spans="1:9" ht="30" customHeight="1" x14ac:dyDescent="0.25">
      <c r="A22" s="209" t="s">
        <v>465</v>
      </c>
      <c r="B22" s="846">
        <f>B16/(B20+B21)</f>
        <v>15000</v>
      </c>
      <c r="C22" s="846"/>
      <c r="D22" s="846"/>
      <c r="E22" s="846"/>
    </row>
    <row r="23" spans="1:9" ht="30" customHeight="1" x14ac:dyDescent="0.25">
      <c r="A23" s="209" t="s">
        <v>466</v>
      </c>
      <c r="B23" s="925">
        <f>(B16-B17)/(B20+B21)</f>
        <v>4500</v>
      </c>
      <c r="C23" s="925"/>
      <c r="D23" s="925"/>
      <c r="E23" s="925"/>
    </row>
    <row r="24" spans="1:9" ht="30" customHeight="1" x14ac:dyDescent="0.25">
      <c r="A24" s="220" t="s">
        <v>476</v>
      </c>
      <c r="B24" s="993">
        <f>B19/1000*K10+J13</f>
        <v>90.522000000000006</v>
      </c>
      <c r="C24" s="993"/>
      <c r="D24" s="993"/>
      <c r="E24" s="993"/>
      <c r="F24" s="37">
        <v>0.26100000000000001</v>
      </c>
    </row>
    <row r="25" spans="1:9" ht="30" customHeight="1" x14ac:dyDescent="0.25">
      <c r="A25" s="212" t="s">
        <v>463</v>
      </c>
      <c r="B25" s="994">
        <f>B24/'Objectifs CO2'!C9</f>
        <v>0.26234555846899293</v>
      </c>
      <c r="C25" s="994"/>
      <c r="D25" s="994"/>
      <c r="E25" s="994"/>
    </row>
    <row r="26" spans="1:9" ht="30" customHeight="1" x14ac:dyDescent="0.25">
      <c r="A26" s="213" t="s">
        <v>464</v>
      </c>
      <c r="B26" s="995">
        <f>B24/'Objectifs CO2'!C8</f>
        <v>1.3117277923449647E-2</v>
      </c>
      <c r="C26" s="995"/>
      <c r="D26" s="995"/>
      <c r="E26" s="995"/>
    </row>
    <row r="27" spans="1:9" ht="30" customHeight="1" x14ac:dyDescent="0.25">
      <c r="A27" s="213" t="s">
        <v>24</v>
      </c>
      <c r="B27" s="853"/>
      <c r="C27" s="853"/>
      <c r="D27" s="853"/>
      <c r="E27" s="853"/>
    </row>
    <row r="28" spans="1:9" ht="30" customHeight="1" x14ac:dyDescent="0.25">
      <c r="A28" s="231" t="s">
        <v>418</v>
      </c>
      <c r="B28" s="853"/>
      <c r="C28" s="853"/>
      <c r="D28" s="853"/>
      <c r="E28" s="853"/>
    </row>
    <row r="30" spans="1:9" x14ac:dyDescent="0.25">
      <c r="B30" s="867" t="s">
        <v>530</v>
      </c>
      <c r="C30" s="867"/>
      <c r="D30" s="867"/>
      <c r="E30" s="143" t="s">
        <v>538</v>
      </c>
    </row>
    <row r="31" spans="1:9" x14ac:dyDescent="0.25">
      <c r="B31" s="864" t="s">
        <v>521</v>
      </c>
      <c r="C31" s="864"/>
      <c r="D31" s="864"/>
      <c r="E31" s="114"/>
      <c r="G31" s="866" t="s">
        <v>538</v>
      </c>
      <c r="H31" s="866"/>
      <c r="I31" s="866"/>
    </row>
    <row r="32" spans="1:9" x14ac:dyDescent="0.25">
      <c r="B32" s="864" t="s">
        <v>522</v>
      </c>
      <c r="C32" s="864"/>
      <c r="D32" s="864"/>
      <c r="E32" s="114"/>
      <c r="G32" s="252">
        <v>3</v>
      </c>
      <c r="H32" s="866" t="s">
        <v>535</v>
      </c>
      <c r="I32" s="866"/>
    </row>
    <row r="33" spans="2:9" x14ac:dyDescent="0.25">
      <c r="B33" s="864" t="s">
        <v>524</v>
      </c>
      <c r="C33" s="864"/>
      <c r="D33" s="864"/>
      <c r="E33" s="114"/>
      <c r="G33" s="252">
        <v>2</v>
      </c>
      <c r="H33" s="866" t="s">
        <v>536</v>
      </c>
      <c r="I33" s="866"/>
    </row>
    <row r="34" spans="2:9" x14ac:dyDescent="0.25">
      <c r="B34" s="864" t="s">
        <v>523</v>
      </c>
      <c r="C34" s="864"/>
      <c r="D34" s="864"/>
      <c r="E34" s="114"/>
      <c r="G34" s="252">
        <v>1</v>
      </c>
      <c r="H34" s="866" t="s">
        <v>537</v>
      </c>
      <c r="I34" s="866"/>
    </row>
    <row r="35" spans="2:9" x14ac:dyDescent="0.25">
      <c r="B35" s="864" t="s">
        <v>525</v>
      </c>
      <c r="C35" s="864"/>
      <c r="D35" s="864"/>
      <c r="E35" s="114"/>
    </row>
    <row r="36" spans="2:9" x14ac:dyDescent="0.25">
      <c r="B36" s="864" t="s">
        <v>526</v>
      </c>
      <c r="C36" s="864"/>
      <c r="D36" s="864"/>
      <c r="E36" s="114"/>
    </row>
    <row r="37" spans="2:9" x14ac:dyDescent="0.25">
      <c r="B37" s="864" t="s">
        <v>527</v>
      </c>
      <c r="C37" s="864"/>
      <c r="D37" s="864"/>
      <c r="E37" s="114"/>
    </row>
    <row r="38" spans="2:9" x14ac:dyDescent="0.25">
      <c r="B38" s="864" t="s">
        <v>528</v>
      </c>
      <c r="C38" s="864"/>
      <c r="D38" s="864"/>
      <c r="E38" s="114"/>
    </row>
    <row r="39" spans="2:9" x14ac:dyDescent="0.25">
      <c r="B39" s="864" t="s">
        <v>529</v>
      </c>
      <c r="C39" s="864"/>
      <c r="D39" s="864"/>
      <c r="E39" s="114"/>
      <c r="G39" s="863" t="s">
        <v>541</v>
      </c>
      <c r="H39" s="863"/>
      <c r="I39" s="863"/>
    </row>
    <row r="40" spans="2:9" x14ac:dyDescent="0.25">
      <c r="B40" s="865" t="s">
        <v>395</v>
      </c>
      <c r="C40" s="865"/>
      <c r="D40" s="865"/>
      <c r="E40" s="258">
        <f>SUM(E31:E39)</f>
        <v>0</v>
      </c>
      <c r="G40" s="254" t="s">
        <v>542</v>
      </c>
      <c r="H40" s="257" t="s">
        <v>543</v>
      </c>
      <c r="I40" s="254" t="s">
        <v>544</v>
      </c>
    </row>
    <row r="41" spans="2:9" x14ac:dyDescent="0.25">
      <c r="E41" s="202" t="s">
        <v>576</v>
      </c>
      <c r="G41" s="254" t="s">
        <v>545</v>
      </c>
      <c r="H41" s="254" t="s">
        <v>547</v>
      </c>
      <c r="I41" s="254" t="s">
        <v>546</v>
      </c>
    </row>
    <row r="43" spans="2:9" x14ac:dyDescent="0.25">
      <c r="B43" s="860" t="s">
        <v>520</v>
      </c>
      <c r="C43" s="861"/>
      <c r="D43" s="862"/>
      <c r="E43" s="251">
        <v>1</v>
      </c>
      <c r="G43" s="254">
        <v>1</v>
      </c>
      <c r="H43" s="254" t="s">
        <v>539</v>
      </c>
    </row>
    <row r="44" spans="2:9" x14ac:dyDescent="0.25">
      <c r="G44" s="254">
        <v>0</v>
      </c>
      <c r="H44" s="254" t="s">
        <v>540</v>
      </c>
    </row>
  </sheetData>
  <mergeCells count="45">
    <mergeCell ref="B7:E7"/>
    <mergeCell ref="A2:E2"/>
    <mergeCell ref="G4:I4"/>
    <mergeCell ref="C5:D5"/>
    <mergeCell ref="G5:I5"/>
    <mergeCell ref="G6:I6"/>
    <mergeCell ref="B17:E17"/>
    <mergeCell ref="B18:E18"/>
    <mergeCell ref="B19:E19"/>
    <mergeCell ref="B8:E8"/>
    <mergeCell ref="B9:E9"/>
    <mergeCell ref="B10:E10"/>
    <mergeCell ref="B11:E11"/>
    <mergeCell ref="B12:E12"/>
    <mergeCell ref="B13:E13"/>
    <mergeCell ref="G31:I31"/>
    <mergeCell ref="B20:E20"/>
    <mergeCell ref="B21:E21"/>
    <mergeCell ref="B22:E22"/>
    <mergeCell ref="B23:E23"/>
    <mergeCell ref="B24:E24"/>
    <mergeCell ref="B25:E25"/>
    <mergeCell ref="G39:I39"/>
    <mergeCell ref="B32:D32"/>
    <mergeCell ref="H32:I32"/>
    <mergeCell ref="B33:D33"/>
    <mergeCell ref="H33:I33"/>
    <mergeCell ref="B34:D34"/>
    <mergeCell ref="H34:I34"/>
    <mergeCell ref="B40:D40"/>
    <mergeCell ref="B43:D43"/>
    <mergeCell ref="C4:D4"/>
    <mergeCell ref="B35:D35"/>
    <mergeCell ref="B36:D36"/>
    <mergeCell ref="B37:D37"/>
    <mergeCell ref="B38:D38"/>
    <mergeCell ref="B39:D39"/>
    <mergeCell ref="B26:E26"/>
    <mergeCell ref="B27:E27"/>
    <mergeCell ref="B28:E28"/>
    <mergeCell ref="B30:D30"/>
    <mergeCell ref="B31:D31"/>
    <mergeCell ref="B14:E14"/>
    <mergeCell ref="B15:E15"/>
    <mergeCell ref="B16:E16"/>
  </mergeCells>
  <conditionalFormatting sqref="E5">
    <cfRule type="containsText" dxfId="29" priority="1" operator="containsText" text="Terminé">
      <formula>NOT(ISERROR(SEARCH("Terminé",E5)))</formula>
    </cfRule>
    <cfRule type="containsText" dxfId="28" priority="2" operator="containsText" text="En cours">
      <formula>NOT(ISERROR(SEARCH("En cours",E5)))</formula>
    </cfRule>
    <cfRule type="containsText" dxfId="27"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legacyDrawing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CO2'!$R$8:$R$15</xm:f>
          </x14:formula1>
          <xm:sqref>B5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CO2'!$P$8:$P$12</xm:f>
          </x14:formula1>
          <xm:sqref>E5</xm:sqref>
        </x14:dataValidation>
        <x14:dataValidation type="list" allowBlank="1" showInputMessage="1" showErrorMessage="1">
          <x14:formula1>
            <xm:f>'Objectifs CO2'!$U$3:$U$9</xm:f>
          </x14:formula1>
          <xm:sqref>C4:D4</xm:sqref>
        </x14:dataValidation>
      </x14:dataValidations>
    </ext>
  </extLst>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4"/>
  <sheetViews>
    <sheetView zoomScaleNormal="100" zoomScaleSheetLayoutView="130"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9" ht="21" x14ac:dyDescent="0.35">
      <c r="A1" s="11" t="s">
        <v>87</v>
      </c>
      <c r="B1" s="11"/>
      <c r="C1" s="11"/>
      <c r="D1" s="11"/>
      <c r="E1" s="11"/>
    </row>
    <row r="2" spans="1:9" ht="26.25" x14ac:dyDescent="0.4">
      <c r="A2" s="856" t="s">
        <v>913</v>
      </c>
      <c r="B2" s="856"/>
      <c r="C2" s="856"/>
      <c r="D2" s="856"/>
      <c r="E2" s="856"/>
    </row>
    <row r="3" spans="1:9" ht="27" thickBot="1" x14ac:dyDescent="0.45">
      <c r="A3" s="206"/>
      <c r="B3" s="206"/>
      <c r="C3" s="206"/>
      <c r="D3" s="206"/>
      <c r="E3" s="206"/>
    </row>
    <row r="4" spans="1:9" ht="24" customHeight="1" thickBot="1" x14ac:dyDescent="0.3">
      <c r="A4" s="12"/>
      <c r="B4" s="233" t="s">
        <v>469</v>
      </c>
      <c r="C4" s="851" t="s">
        <v>611</v>
      </c>
      <c r="D4" s="852"/>
      <c r="E4" s="175" t="s">
        <v>479</v>
      </c>
      <c r="G4" s="848" t="s">
        <v>914</v>
      </c>
      <c r="H4" s="848"/>
      <c r="I4" s="848"/>
    </row>
    <row r="5" spans="1:9" ht="24" customHeight="1" x14ac:dyDescent="0.25">
      <c r="A5" s="381" t="s">
        <v>651</v>
      </c>
      <c r="B5" s="382" t="s">
        <v>50</v>
      </c>
      <c r="C5" s="820" t="s">
        <v>18</v>
      </c>
      <c r="D5" s="820"/>
      <c r="E5" s="232" t="s">
        <v>21</v>
      </c>
      <c r="G5" s="848" t="s">
        <v>915</v>
      </c>
      <c r="H5" s="848"/>
      <c r="I5" s="848"/>
    </row>
    <row r="6" spans="1:9" ht="16.5" thickBot="1" x14ac:dyDescent="0.3">
      <c r="A6" s="379" t="s">
        <v>660</v>
      </c>
      <c r="B6" s="380" t="s">
        <v>398</v>
      </c>
      <c r="G6" s="850" t="s">
        <v>916</v>
      </c>
      <c r="H6" s="850"/>
      <c r="I6" s="850"/>
    </row>
    <row r="7" spans="1:9" ht="15.75" thickBot="1" x14ac:dyDescent="0.3">
      <c r="A7" s="207" t="s">
        <v>1</v>
      </c>
      <c r="B7" s="820" t="s">
        <v>971</v>
      </c>
      <c r="C7" s="820"/>
      <c r="D7" s="820"/>
      <c r="E7" s="820"/>
    </row>
    <row r="8" spans="1:9" ht="15.75" thickBot="1" x14ac:dyDescent="0.3">
      <c r="A8" s="207" t="s">
        <v>0</v>
      </c>
      <c r="B8" s="820" t="s">
        <v>972</v>
      </c>
      <c r="C8" s="820"/>
      <c r="D8" s="820"/>
      <c r="E8" s="820"/>
    </row>
    <row r="9" spans="1:9" ht="48.75" customHeight="1" x14ac:dyDescent="0.25">
      <c r="A9" s="208"/>
      <c r="B9" s="890" t="s">
        <v>975</v>
      </c>
      <c r="C9" s="889"/>
      <c r="D9" s="889"/>
      <c r="E9" s="889"/>
      <c r="F9" s="37" t="s">
        <v>974</v>
      </c>
      <c r="G9" s="275" t="s">
        <v>578</v>
      </c>
      <c r="H9" s="275" t="s">
        <v>579</v>
      </c>
      <c r="I9" s="275" t="s">
        <v>580</v>
      </c>
    </row>
    <row r="10" spans="1:9" ht="29.25" customHeight="1" x14ac:dyDescent="0.25">
      <c r="A10" s="208" t="s">
        <v>31</v>
      </c>
      <c r="B10" s="890" t="s">
        <v>973</v>
      </c>
      <c r="C10" s="889"/>
      <c r="D10" s="889"/>
      <c r="E10" s="889"/>
      <c r="G10" s="275">
        <v>9</v>
      </c>
      <c r="H10" s="275">
        <v>100</v>
      </c>
      <c r="I10" s="275">
        <v>0.9</v>
      </c>
    </row>
    <row r="11" spans="1:9" ht="30" customHeight="1" x14ac:dyDescent="0.25">
      <c r="A11" s="209" t="s">
        <v>16</v>
      </c>
      <c r="B11" s="874" t="s">
        <v>86</v>
      </c>
      <c r="C11" s="874"/>
      <c r="D11" s="874"/>
      <c r="E11" s="874"/>
    </row>
    <row r="12" spans="1:9" ht="30" customHeight="1" x14ac:dyDescent="0.25">
      <c r="A12" s="209" t="s">
        <v>3</v>
      </c>
      <c r="B12" s="874"/>
      <c r="C12" s="874"/>
      <c r="D12" s="874"/>
      <c r="E12" s="874"/>
    </row>
    <row r="13" spans="1:9" ht="30" customHeight="1" x14ac:dyDescent="0.25">
      <c r="A13" s="209" t="s">
        <v>17</v>
      </c>
      <c r="B13" s="874"/>
      <c r="C13" s="874"/>
      <c r="D13" s="874"/>
      <c r="E13" s="874"/>
    </row>
    <row r="14" spans="1:9" ht="30" customHeight="1" x14ac:dyDescent="0.25">
      <c r="A14" s="209" t="s">
        <v>4</v>
      </c>
      <c r="B14" s="874">
        <v>2016</v>
      </c>
      <c r="C14" s="874"/>
      <c r="D14" s="874"/>
      <c r="E14" s="874"/>
    </row>
    <row r="15" spans="1:9" ht="30" customHeight="1" x14ac:dyDescent="0.25">
      <c r="A15" s="209" t="s">
        <v>5</v>
      </c>
      <c r="B15" s="874">
        <v>2020</v>
      </c>
      <c r="C15" s="874"/>
      <c r="D15" s="874"/>
      <c r="E15" s="874"/>
    </row>
    <row r="16" spans="1:9" ht="30" customHeight="1" x14ac:dyDescent="0.25">
      <c r="A16" s="209" t="s">
        <v>6</v>
      </c>
      <c r="B16" s="845">
        <f>6000*G10</f>
        <v>54000</v>
      </c>
      <c r="C16" s="845"/>
      <c r="D16" s="845"/>
      <c r="E16" s="845"/>
    </row>
    <row r="17" spans="1:9" ht="30" customHeight="1" x14ac:dyDescent="0.25">
      <c r="A17" s="209" t="s">
        <v>7</v>
      </c>
      <c r="B17" s="845">
        <f>B16*0.7</f>
        <v>37800</v>
      </c>
      <c r="C17" s="845"/>
      <c r="D17" s="845"/>
      <c r="E17" s="845"/>
    </row>
    <row r="18" spans="1:9" ht="30" customHeight="1" x14ac:dyDescent="0.25">
      <c r="A18" s="276" t="s">
        <v>468</v>
      </c>
      <c r="B18" s="989"/>
      <c r="C18" s="990"/>
      <c r="D18" s="990"/>
      <c r="E18" s="990"/>
      <c r="G18" s="2"/>
      <c r="H18" s="2"/>
    </row>
    <row r="19" spans="1:9" ht="30" customHeight="1" x14ac:dyDescent="0.25">
      <c r="A19" s="277" t="s">
        <v>467</v>
      </c>
      <c r="B19" s="991"/>
      <c r="C19" s="992"/>
      <c r="D19" s="992"/>
      <c r="E19" s="992"/>
    </row>
    <row r="20" spans="1:9" ht="30" customHeight="1" x14ac:dyDescent="0.25">
      <c r="A20" s="209" t="s">
        <v>8</v>
      </c>
      <c r="B20" s="845">
        <v>1</v>
      </c>
      <c r="C20" s="845"/>
      <c r="D20" s="845"/>
      <c r="E20" s="845"/>
    </row>
    <row r="21" spans="1:9" ht="30" customHeight="1" x14ac:dyDescent="0.25">
      <c r="A21" s="209" t="s">
        <v>9</v>
      </c>
      <c r="B21" s="874"/>
      <c r="C21" s="874"/>
      <c r="D21" s="874"/>
      <c r="E21" s="874"/>
    </row>
    <row r="22" spans="1:9" ht="30" customHeight="1" x14ac:dyDescent="0.25">
      <c r="A22" s="209" t="s">
        <v>465</v>
      </c>
      <c r="B22" s="846">
        <f>B16/(B20+B21)</f>
        <v>54000</v>
      </c>
      <c r="C22" s="846"/>
      <c r="D22" s="846"/>
      <c r="E22" s="846"/>
    </row>
    <row r="23" spans="1:9" ht="30" customHeight="1" x14ac:dyDescent="0.25">
      <c r="A23" s="209" t="s">
        <v>466</v>
      </c>
      <c r="B23" s="925">
        <f>(B16-B17)/(B20+B21)</f>
        <v>16200</v>
      </c>
      <c r="C23" s="925"/>
      <c r="D23" s="925"/>
      <c r="E23" s="925"/>
    </row>
    <row r="24" spans="1:9" ht="30" customHeight="1" x14ac:dyDescent="0.25">
      <c r="A24" s="220" t="s">
        <v>476</v>
      </c>
      <c r="B24" s="993">
        <f>H10*I10*G10</f>
        <v>810</v>
      </c>
      <c r="C24" s="993"/>
      <c r="D24" s="993"/>
      <c r="E24" s="993"/>
      <c r="F24" s="37">
        <v>0.26100000000000001</v>
      </c>
    </row>
    <row r="25" spans="1:9" ht="30" customHeight="1" x14ac:dyDescent="0.25">
      <c r="A25" s="212" t="s">
        <v>463</v>
      </c>
      <c r="B25" s="994">
        <f>B24/'Objectifs CO2'!C9</f>
        <v>2.3474945577857786</v>
      </c>
      <c r="C25" s="994"/>
      <c r="D25" s="994"/>
      <c r="E25" s="994"/>
    </row>
    <row r="26" spans="1:9" ht="30" customHeight="1" x14ac:dyDescent="0.25">
      <c r="A26" s="213" t="s">
        <v>464</v>
      </c>
      <c r="B26" s="995">
        <f>B24/'Objectifs CO2'!C8</f>
        <v>0.11737472788928895</v>
      </c>
      <c r="C26" s="995"/>
      <c r="D26" s="995"/>
      <c r="E26" s="995"/>
    </row>
    <row r="27" spans="1:9" ht="30" customHeight="1" x14ac:dyDescent="0.25">
      <c r="A27" s="213" t="s">
        <v>24</v>
      </c>
      <c r="B27" s="853"/>
      <c r="C27" s="853"/>
      <c r="D27" s="853"/>
      <c r="E27" s="853"/>
    </row>
    <row r="28" spans="1:9" ht="30" customHeight="1" x14ac:dyDescent="0.25">
      <c r="A28" s="213" t="s">
        <v>418</v>
      </c>
      <c r="B28" s="853"/>
      <c r="C28" s="853"/>
      <c r="D28" s="853"/>
      <c r="E28" s="853"/>
    </row>
    <row r="30" spans="1:9" x14ac:dyDescent="0.25">
      <c r="B30" s="867" t="s">
        <v>530</v>
      </c>
      <c r="C30" s="867"/>
      <c r="D30" s="867"/>
      <c r="E30" s="143" t="s">
        <v>538</v>
      </c>
    </row>
    <row r="31" spans="1:9" x14ac:dyDescent="0.25">
      <c r="B31" s="864" t="s">
        <v>521</v>
      </c>
      <c r="C31" s="864"/>
      <c r="D31" s="864"/>
      <c r="E31" s="114"/>
      <c r="G31" s="866" t="s">
        <v>538</v>
      </c>
      <c r="H31" s="866"/>
      <c r="I31" s="866"/>
    </row>
    <row r="32" spans="1:9" x14ac:dyDescent="0.25">
      <c r="B32" s="864" t="s">
        <v>522</v>
      </c>
      <c r="C32" s="864"/>
      <c r="D32" s="864"/>
      <c r="E32" s="114"/>
      <c r="G32" s="252">
        <v>3</v>
      </c>
      <c r="H32" s="866" t="s">
        <v>535</v>
      </c>
      <c r="I32" s="866"/>
    </row>
    <row r="33" spans="2:9" x14ac:dyDescent="0.25">
      <c r="B33" s="864" t="s">
        <v>524</v>
      </c>
      <c r="C33" s="864"/>
      <c r="D33" s="864"/>
      <c r="E33" s="114"/>
      <c r="G33" s="252">
        <v>2</v>
      </c>
      <c r="H33" s="866" t="s">
        <v>536</v>
      </c>
      <c r="I33" s="866"/>
    </row>
    <row r="34" spans="2:9" x14ac:dyDescent="0.25">
      <c r="B34" s="864" t="s">
        <v>523</v>
      </c>
      <c r="C34" s="864"/>
      <c r="D34" s="864"/>
      <c r="E34" s="114"/>
      <c r="G34" s="252">
        <v>1</v>
      </c>
      <c r="H34" s="866" t="s">
        <v>537</v>
      </c>
      <c r="I34" s="866"/>
    </row>
    <row r="35" spans="2:9" x14ac:dyDescent="0.25">
      <c r="B35" s="864" t="s">
        <v>525</v>
      </c>
      <c r="C35" s="864"/>
      <c r="D35" s="864"/>
      <c r="E35" s="114"/>
    </row>
    <row r="36" spans="2:9" x14ac:dyDescent="0.25">
      <c r="B36" s="864" t="s">
        <v>526</v>
      </c>
      <c r="C36" s="864"/>
      <c r="D36" s="864"/>
      <c r="E36" s="114"/>
    </row>
    <row r="37" spans="2:9" x14ac:dyDescent="0.25">
      <c r="B37" s="864" t="s">
        <v>527</v>
      </c>
      <c r="C37" s="864"/>
      <c r="D37" s="864"/>
      <c r="E37" s="114"/>
    </row>
    <row r="38" spans="2:9" x14ac:dyDescent="0.25">
      <c r="B38" s="864" t="s">
        <v>528</v>
      </c>
      <c r="C38" s="864"/>
      <c r="D38" s="864"/>
      <c r="E38" s="114"/>
    </row>
    <row r="39" spans="2:9" x14ac:dyDescent="0.25">
      <c r="B39" s="864" t="s">
        <v>529</v>
      </c>
      <c r="C39" s="864"/>
      <c r="D39" s="864"/>
      <c r="E39" s="114"/>
      <c r="G39" s="863" t="s">
        <v>541</v>
      </c>
      <c r="H39" s="863"/>
      <c r="I39" s="863"/>
    </row>
    <row r="40" spans="2:9" x14ac:dyDescent="0.25">
      <c r="B40" s="865" t="s">
        <v>395</v>
      </c>
      <c r="C40" s="865"/>
      <c r="D40" s="865"/>
      <c r="E40" s="258">
        <f>SUM(E31:E39)</f>
        <v>0</v>
      </c>
      <c r="G40" s="254" t="s">
        <v>542</v>
      </c>
      <c r="H40" s="257" t="s">
        <v>543</v>
      </c>
      <c r="I40" s="254" t="s">
        <v>544</v>
      </c>
    </row>
    <row r="41" spans="2:9" x14ac:dyDescent="0.25">
      <c r="E41" s="202" t="s">
        <v>576</v>
      </c>
      <c r="G41" s="254" t="s">
        <v>545</v>
      </c>
      <c r="H41" s="254" t="s">
        <v>547</v>
      </c>
      <c r="I41" s="254" t="s">
        <v>546</v>
      </c>
    </row>
    <row r="43" spans="2:9" x14ac:dyDescent="0.25">
      <c r="B43" s="860" t="s">
        <v>520</v>
      </c>
      <c r="C43" s="861"/>
      <c r="D43" s="862"/>
      <c r="E43" s="251">
        <v>1</v>
      </c>
      <c r="G43" s="254">
        <v>1</v>
      </c>
      <c r="H43" s="254" t="s">
        <v>539</v>
      </c>
    </row>
    <row r="44" spans="2:9" x14ac:dyDescent="0.25">
      <c r="G44" s="254">
        <v>0</v>
      </c>
      <c r="H44" s="254" t="s">
        <v>540</v>
      </c>
    </row>
  </sheetData>
  <mergeCells count="45">
    <mergeCell ref="G6:I6"/>
    <mergeCell ref="B16:E16"/>
    <mergeCell ref="A2:E2"/>
    <mergeCell ref="C5:D5"/>
    <mergeCell ref="B7:E7"/>
    <mergeCell ref="B8:E8"/>
    <mergeCell ref="B9:E9"/>
    <mergeCell ref="B10:E10"/>
    <mergeCell ref="B11:E11"/>
    <mergeCell ref="B12:E12"/>
    <mergeCell ref="B13:E13"/>
    <mergeCell ref="B14:E14"/>
    <mergeCell ref="B15:E15"/>
    <mergeCell ref="C4:D4"/>
    <mergeCell ref="G31:I31"/>
    <mergeCell ref="B32:D32"/>
    <mergeCell ref="H32:I32"/>
    <mergeCell ref="B28:E28"/>
    <mergeCell ref="B17:E17"/>
    <mergeCell ref="B18:E18"/>
    <mergeCell ref="B19:E19"/>
    <mergeCell ref="B20:E20"/>
    <mergeCell ref="B21:E21"/>
    <mergeCell ref="B22:E22"/>
    <mergeCell ref="B23:E23"/>
    <mergeCell ref="B24:E24"/>
    <mergeCell ref="B25:E25"/>
    <mergeCell ref="B26:E26"/>
    <mergeCell ref="B27:E27"/>
    <mergeCell ref="B43:D43"/>
    <mergeCell ref="G4:I4"/>
    <mergeCell ref="G5:I5"/>
    <mergeCell ref="G39:I39"/>
    <mergeCell ref="B36:D36"/>
    <mergeCell ref="B37:D37"/>
    <mergeCell ref="B38:D38"/>
    <mergeCell ref="B39:D39"/>
    <mergeCell ref="B40:D40"/>
    <mergeCell ref="B33:D33"/>
    <mergeCell ref="H33:I33"/>
    <mergeCell ref="B34:D34"/>
    <mergeCell ref="H34:I34"/>
    <mergeCell ref="B35:D35"/>
    <mergeCell ref="B30:D30"/>
    <mergeCell ref="B31:D31"/>
  </mergeCells>
  <conditionalFormatting sqref="E5">
    <cfRule type="containsText" dxfId="26" priority="1" operator="containsText" text="Terminé">
      <formula>NOT(ISERROR(SEARCH("Terminé",E5)))</formula>
    </cfRule>
    <cfRule type="containsText" dxfId="25" priority="2" operator="containsText" text="En cours">
      <formula>NOT(ISERROR(SEARCH("En cours",E5)))</formula>
    </cfRule>
    <cfRule type="containsText" dxfId="24"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pageSetup paperSize="9" scale="9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4"/>
  <sheetViews>
    <sheetView topLeftCell="A19" zoomScaleNormal="100" zoomScaleSheetLayoutView="160" workbookViewId="0">
      <selection activeCell="B15" sqref="B15:E15"/>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9" ht="21" x14ac:dyDescent="0.35">
      <c r="A1" s="11" t="s">
        <v>87</v>
      </c>
      <c r="B1" s="11"/>
      <c r="C1" s="11"/>
      <c r="D1" s="11"/>
      <c r="E1" s="11"/>
    </row>
    <row r="2" spans="1:9" ht="26.25" x14ac:dyDescent="0.4">
      <c r="A2" s="856" t="s">
        <v>913</v>
      </c>
      <c r="B2" s="856"/>
      <c r="C2" s="856"/>
      <c r="D2" s="856"/>
      <c r="E2" s="856"/>
    </row>
    <row r="3" spans="1:9" ht="27" thickBot="1" x14ac:dyDescent="0.45">
      <c r="A3" s="358"/>
      <c r="B3" s="358"/>
      <c r="C3" s="358"/>
      <c r="D3" s="358"/>
      <c r="E3" s="358"/>
    </row>
    <row r="4" spans="1:9" ht="24" customHeight="1" thickBot="1" x14ac:dyDescent="0.3">
      <c r="A4" s="12"/>
      <c r="B4" s="233" t="s">
        <v>469</v>
      </c>
      <c r="C4" s="851" t="s">
        <v>611</v>
      </c>
      <c r="D4" s="852"/>
      <c r="E4" s="175" t="s">
        <v>719</v>
      </c>
      <c r="G4" s="848" t="s">
        <v>914</v>
      </c>
      <c r="H4" s="848"/>
      <c r="I4" s="848"/>
    </row>
    <row r="5" spans="1:9" ht="24" customHeight="1" x14ac:dyDescent="0.25">
      <c r="A5" s="381" t="s">
        <v>651</v>
      </c>
      <c r="B5" s="382" t="s">
        <v>50</v>
      </c>
      <c r="C5" s="820" t="s">
        <v>18</v>
      </c>
      <c r="D5" s="820"/>
      <c r="E5" s="232" t="s">
        <v>21</v>
      </c>
      <c r="G5" s="848" t="s">
        <v>915</v>
      </c>
      <c r="H5" s="848"/>
      <c r="I5" s="848"/>
    </row>
    <row r="6" spans="1:9" ht="16.5" thickBot="1" x14ac:dyDescent="0.3">
      <c r="A6" s="379" t="s">
        <v>660</v>
      </c>
      <c r="B6" s="380" t="s">
        <v>398</v>
      </c>
      <c r="G6" s="850" t="s">
        <v>916</v>
      </c>
      <c r="H6" s="850"/>
      <c r="I6" s="850"/>
    </row>
    <row r="7" spans="1:9" ht="15.75" thickBot="1" x14ac:dyDescent="0.3">
      <c r="A7" s="207" t="s">
        <v>1</v>
      </c>
      <c r="B7" s="820" t="s">
        <v>790</v>
      </c>
      <c r="C7" s="820"/>
      <c r="D7" s="820"/>
      <c r="E7" s="820"/>
    </row>
    <row r="8" spans="1:9" ht="15.75" thickBot="1" x14ac:dyDescent="0.3">
      <c r="A8" s="207" t="s">
        <v>0</v>
      </c>
      <c r="B8" s="820" t="s">
        <v>577</v>
      </c>
      <c r="C8" s="820"/>
      <c r="D8" s="820"/>
      <c r="E8" s="820"/>
    </row>
    <row r="9" spans="1:9" ht="149.25" customHeight="1" x14ac:dyDescent="0.25">
      <c r="A9" s="208" t="s">
        <v>2</v>
      </c>
      <c r="B9" s="890" t="s">
        <v>736</v>
      </c>
      <c r="C9" s="889"/>
      <c r="D9" s="889"/>
      <c r="E9" s="889"/>
      <c r="G9" s="275" t="s">
        <v>578</v>
      </c>
      <c r="H9" s="275" t="s">
        <v>579</v>
      </c>
      <c r="I9" s="275" t="s">
        <v>580</v>
      </c>
    </row>
    <row r="10" spans="1:9" ht="29.25" customHeight="1" x14ac:dyDescent="0.25">
      <c r="A10" s="208" t="s">
        <v>31</v>
      </c>
      <c r="B10" s="890" t="s">
        <v>1001</v>
      </c>
      <c r="C10" s="889"/>
      <c r="D10" s="889"/>
      <c r="E10" s="889"/>
      <c r="G10" s="275">
        <v>2</v>
      </c>
      <c r="H10" s="275">
        <v>150</v>
      </c>
      <c r="I10" s="275">
        <v>0.9</v>
      </c>
    </row>
    <row r="11" spans="1:9" ht="30" customHeight="1" x14ac:dyDescent="0.25">
      <c r="A11" s="209" t="s">
        <v>16</v>
      </c>
      <c r="B11" s="874" t="s">
        <v>86</v>
      </c>
      <c r="C11" s="874"/>
      <c r="D11" s="874"/>
      <c r="E11" s="874"/>
    </row>
    <row r="12" spans="1:9" ht="30" customHeight="1" x14ac:dyDescent="0.25">
      <c r="A12" s="209" t="s">
        <v>3</v>
      </c>
      <c r="B12" s="874"/>
      <c r="C12" s="874"/>
      <c r="D12" s="874"/>
      <c r="E12" s="874"/>
    </row>
    <row r="13" spans="1:9" ht="30" customHeight="1" x14ac:dyDescent="0.25">
      <c r="A13" s="209" t="s">
        <v>17</v>
      </c>
      <c r="B13" s="874"/>
      <c r="C13" s="874"/>
      <c r="D13" s="874"/>
      <c r="E13" s="874"/>
    </row>
    <row r="14" spans="1:9" ht="30" customHeight="1" x14ac:dyDescent="0.25">
      <c r="A14" s="209" t="s">
        <v>4</v>
      </c>
      <c r="B14" s="874">
        <v>2014</v>
      </c>
      <c r="C14" s="874"/>
      <c r="D14" s="874"/>
      <c r="E14" s="874"/>
    </row>
    <row r="15" spans="1:9" ht="30" customHeight="1" x14ac:dyDescent="0.25">
      <c r="A15" s="209" t="s">
        <v>5</v>
      </c>
      <c r="B15" s="874">
        <v>2015</v>
      </c>
      <c r="C15" s="874"/>
      <c r="D15" s="874"/>
      <c r="E15" s="874"/>
    </row>
    <row r="16" spans="1:9" ht="30" customHeight="1" x14ac:dyDescent="0.25">
      <c r="A16" s="209" t="s">
        <v>6</v>
      </c>
      <c r="B16" s="845">
        <f>6000*G10</f>
        <v>12000</v>
      </c>
      <c r="C16" s="845"/>
      <c r="D16" s="845"/>
      <c r="E16" s="845"/>
    </row>
    <row r="17" spans="1:9" ht="30" customHeight="1" x14ac:dyDescent="0.25">
      <c r="A17" s="209" t="s">
        <v>7</v>
      </c>
      <c r="B17" s="845">
        <f>B16*0.7</f>
        <v>8400</v>
      </c>
      <c r="C17" s="845"/>
      <c r="D17" s="845"/>
      <c r="E17" s="845"/>
    </row>
    <row r="18" spans="1:9" ht="30" customHeight="1" x14ac:dyDescent="0.25">
      <c r="A18" s="276" t="s">
        <v>468</v>
      </c>
      <c r="B18" s="989"/>
      <c r="C18" s="990"/>
      <c r="D18" s="990"/>
      <c r="E18" s="990"/>
      <c r="G18" s="2"/>
      <c r="H18" s="2"/>
    </row>
    <row r="19" spans="1:9" ht="30" customHeight="1" x14ac:dyDescent="0.25">
      <c r="A19" s="277" t="s">
        <v>467</v>
      </c>
      <c r="B19" s="991"/>
      <c r="C19" s="992"/>
      <c r="D19" s="992"/>
      <c r="E19" s="992"/>
    </row>
    <row r="20" spans="1:9" ht="30" customHeight="1" x14ac:dyDescent="0.25">
      <c r="A20" s="209" t="s">
        <v>8</v>
      </c>
      <c r="B20" s="845">
        <v>1</v>
      </c>
      <c r="C20" s="845"/>
      <c r="D20" s="845"/>
      <c r="E20" s="845"/>
    </row>
    <row r="21" spans="1:9" ht="30" customHeight="1" x14ac:dyDescent="0.25">
      <c r="A21" s="209" t="s">
        <v>9</v>
      </c>
      <c r="B21" s="874"/>
      <c r="C21" s="874"/>
      <c r="D21" s="874"/>
      <c r="E21" s="874"/>
    </row>
    <row r="22" spans="1:9" ht="30" customHeight="1" x14ac:dyDescent="0.25">
      <c r="A22" s="209" t="s">
        <v>465</v>
      </c>
      <c r="B22" s="923">
        <f>B16/(B20+B21)</f>
        <v>12000</v>
      </c>
      <c r="C22" s="923"/>
      <c r="D22" s="923"/>
      <c r="E22" s="923"/>
    </row>
    <row r="23" spans="1:9" ht="30" customHeight="1" x14ac:dyDescent="0.25">
      <c r="A23" s="209" t="s">
        <v>466</v>
      </c>
      <c r="B23" s="996">
        <f>(B16-B17)/(B20+B21)</f>
        <v>3600</v>
      </c>
      <c r="C23" s="996"/>
      <c r="D23" s="996"/>
      <c r="E23" s="996"/>
    </row>
    <row r="24" spans="1:9" ht="30" customHeight="1" x14ac:dyDescent="0.25">
      <c r="A24" s="220" t="s">
        <v>476</v>
      </c>
      <c r="B24" s="993">
        <f>H10*I10*G10</f>
        <v>270</v>
      </c>
      <c r="C24" s="993"/>
      <c r="D24" s="993"/>
      <c r="E24" s="993"/>
      <c r="F24" s="37">
        <v>0.26100000000000001</v>
      </c>
    </row>
    <row r="25" spans="1:9" ht="30" customHeight="1" x14ac:dyDescent="0.25">
      <c r="A25" s="212" t="s">
        <v>463</v>
      </c>
      <c r="B25" s="994">
        <f>B24/'Objectifs CO2'!C9</f>
        <v>0.78249818592859288</v>
      </c>
      <c r="C25" s="994"/>
      <c r="D25" s="994"/>
      <c r="E25" s="994"/>
    </row>
    <row r="26" spans="1:9" ht="30" customHeight="1" x14ac:dyDescent="0.25">
      <c r="A26" s="213" t="s">
        <v>464</v>
      </c>
      <c r="B26" s="995">
        <f>B24/'Objectifs CO2'!C8</f>
        <v>3.9124909296429651E-2</v>
      </c>
      <c r="C26" s="995"/>
      <c r="D26" s="995"/>
      <c r="E26" s="995"/>
    </row>
    <row r="27" spans="1:9" ht="30" customHeight="1" x14ac:dyDescent="0.25">
      <c r="A27" s="213" t="s">
        <v>24</v>
      </c>
      <c r="B27" s="853"/>
      <c r="C27" s="853"/>
      <c r="D27" s="853"/>
      <c r="E27" s="853"/>
    </row>
    <row r="28" spans="1:9" ht="30" customHeight="1" x14ac:dyDescent="0.25">
      <c r="A28" s="213" t="s">
        <v>418</v>
      </c>
      <c r="B28" s="853"/>
      <c r="C28" s="853"/>
      <c r="D28" s="853"/>
      <c r="E28" s="853"/>
    </row>
    <row r="30" spans="1:9" x14ac:dyDescent="0.25">
      <c r="B30" s="867" t="s">
        <v>530</v>
      </c>
      <c r="C30" s="867"/>
      <c r="D30" s="867"/>
      <c r="E30" s="143" t="s">
        <v>538</v>
      </c>
    </row>
    <row r="31" spans="1:9" x14ac:dyDescent="0.25">
      <c r="B31" s="864" t="s">
        <v>521</v>
      </c>
      <c r="C31" s="864"/>
      <c r="D31" s="864"/>
      <c r="E31" s="114"/>
      <c r="G31" s="866" t="s">
        <v>538</v>
      </c>
      <c r="H31" s="866"/>
      <c r="I31" s="866"/>
    </row>
    <row r="32" spans="1:9" x14ac:dyDescent="0.25">
      <c r="B32" s="864" t="s">
        <v>522</v>
      </c>
      <c r="C32" s="864"/>
      <c r="D32" s="864"/>
      <c r="E32" s="114"/>
      <c r="G32" s="252">
        <v>3</v>
      </c>
      <c r="H32" s="866" t="s">
        <v>535</v>
      </c>
      <c r="I32" s="866"/>
    </row>
    <row r="33" spans="2:9" x14ac:dyDescent="0.25">
      <c r="B33" s="864" t="s">
        <v>524</v>
      </c>
      <c r="C33" s="864"/>
      <c r="D33" s="864"/>
      <c r="E33" s="114"/>
      <c r="G33" s="252">
        <v>2</v>
      </c>
      <c r="H33" s="866" t="s">
        <v>536</v>
      </c>
      <c r="I33" s="866"/>
    </row>
    <row r="34" spans="2:9" x14ac:dyDescent="0.25">
      <c r="B34" s="864" t="s">
        <v>523</v>
      </c>
      <c r="C34" s="864"/>
      <c r="D34" s="864"/>
      <c r="E34" s="114"/>
      <c r="G34" s="252">
        <v>1</v>
      </c>
      <c r="H34" s="866" t="s">
        <v>537</v>
      </c>
      <c r="I34" s="866"/>
    </row>
    <row r="35" spans="2:9" x14ac:dyDescent="0.25">
      <c r="B35" s="864" t="s">
        <v>525</v>
      </c>
      <c r="C35" s="864"/>
      <c r="D35" s="864"/>
      <c r="E35" s="114"/>
    </row>
    <row r="36" spans="2:9" x14ac:dyDescent="0.25">
      <c r="B36" s="864" t="s">
        <v>526</v>
      </c>
      <c r="C36" s="864"/>
      <c r="D36" s="864"/>
      <c r="E36" s="114"/>
    </row>
    <row r="37" spans="2:9" x14ac:dyDescent="0.25">
      <c r="B37" s="864" t="s">
        <v>527</v>
      </c>
      <c r="C37" s="864"/>
      <c r="D37" s="864"/>
      <c r="E37" s="114"/>
    </row>
    <row r="38" spans="2:9" x14ac:dyDescent="0.25">
      <c r="B38" s="864" t="s">
        <v>528</v>
      </c>
      <c r="C38" s="864"/>
      <c r="D38" s="864"/>
      <c r="E38" s="114"/>
    </row>
    <row r="39" spans="2:9" x14ac:dyDescent="0.25">
      <c r="B39" s="864" t="s">
        <v>529</v>
      </c>
      <c r="C39" s="864"/>
      <c r="D39" s="864"/>
      <c r="E39" s="114"/>
      <c r="G39" s="863" t="s">
        <v>541</v>
      </c>
      <c r="H39" s="863"/>
      <c r="I39" s="863"/>
    </row>
    <row r="40" spans="2:9" x14ac:dyDescent="0.25">
      <c r="B40" s="865" t="s">
        <v>395</v>
      </c>
      <c r="C40" s="865"/>
      <c r="D40" s="865"/>
      <c r="E40" s="258">
        <f>SUM(E31:E39)</f>
        <v>0</v>
      </c>
      <c r="G40" s="254" t="s">
        <v>542</v>
      </c>
      <c r="H40" s="257" t="s">
        <v>543</v>
      </c>
      <c r="I40" s="254" t="s">
        <v>544</v>
      </c>
    </row>
    <row r="41" spans="2:9" x14ac:dyDescent="0.25">
      <c r="E41" s="202" t="s">
        <v>576</v>
      </c>
      <c r="G41" s="254" t="s">
        <v>545</v>
      </c>
      <c r="H41" s="254" t="s">
        <v>547</v>
      </c>
      <c r="I41" s="254" t="s">
        <v>546</v>
      </c>
    </row>
    <row r="43" spans="2:9" x14ac:dyDescent="0.25">
      <c r="B43" s="860" t="s">
        <v>520</v>
      </c>
      <c r="C43" s="861"/>
      <c r="D43" s="862"/>
      <c r="E43" s="251">
        <v>1</v>
      </c>
      <c r="G43" s="254">
        <v>1</v>
      </c>
      <c r="H43" s="254" t="s">
        <v>539</v>
      </c>
    </row>
    <row r="44" spans="2:9" x14ac:dyDescent="0.25">
      <c r="G44" s="254">
        <v>0</v>
      </c>
      <c r="H44" s="254" t="s">
        <v>540</v>
      </c>
    </row>
  </sheetData>
  <mergeCells count="45">
    <mergeCell ref="B40:D40"/>
    <mergeCell ref="B43:D43"/>
    <mergeCell ref="B35:D35"/>
    <mergeCell ref="B36:D36"/>
    <mergeCell ref="B37:D37"/>
    <mergeCell ref="B38:D38"/>
    <mergeCell ref="B39:D39"/>
    <mergeCell ref="G39:I39"/>
    <mergeCell ref="B32:D32"/>
    <mergeCell ref="H32:I32"/>
    <mergeCell ref="B33:D33"/>
    <mergeCell ref="H33:I33"/>
    <mergeCell ref="B34:D34"/>
    <mergeCell ref="H34:I34"/>
    <mergeCell ref="G31:I31"/>
    <mergeCell ref="B20:E20"/>
    <mergeCell ref="B21:E21"/>
    <mergeCell ref="B22:E22"/>
    <mergeCell ref="B23:E23"/>
    <mergeCell ref="B24:E24"/>
    <mergeCell ref="B25:E25"/>
    <mergeCell ref="B26:E26"/>
    <mergeCell ref="B27:E27"/>
    <mergeCell ref="B28:E28"/>
    <mergeCell ref="B30:D30"/>
    <mergeCell ref="B31:D31"/>
    <mergeCell ref="B19:E19"/>
    <mergeCell ref="B8:E8"/>
    <mergeCell ref="B9:E9"/>
    <mergeCell ref="B10:E10"/>
    <mergeCell ref="B11:E11"/>
    <mergeCell ref="B12:E12"/>
    <mergeCell ref="B13:E13"/>
    <mergeCell ref="B14:E14"/>
    <mergeCell ref="B15:E15"/>
    <mergeCell ref="B16:E16"/>
    <mergeCell ref="B17:E17"/>
    <mergeCell ref="B18:E18"/>
    <mergeCell ref="B7:E7"/>
    <mergeCell ref="A2:E2"/>
    <mergeCell ref="G4:I4"/>
    <mergeCell ref="C5:D5"/>
    <mergeCell ref="G5:I5"/>
    <mergeCell ref="G6:I6"/>
    <mergeCell ref="C4:D4"/>
  </mergeCells>
  <conditionalFormatting sqref="E5">
    <cfRule type="containsText" dxfId="23" priority="1" operator="containsText" text="Terminé">
      <formula>NOT(ISERROR(SEARCH("Terminé",E5)))</formula>
    </cfRule>
    <cfRule type="containsText" dxfId="22" priority="2" operator="containsText" text="En cours">
      <formula>NOT(ISERROR(SEARCH("En cours",E5)))</formula>
    </cfRule>
    <cfRule type="containsText" dxfId="21"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pageSetup paperSize="9" scale="86" orientation="portrait" r:id="rId1"/>
  <colBreaks count="1" manualBreakCount="1">
    <brk id="5"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4"/>
  <sheetViews>
    <sheetView zoomScaleNormal="100" zoomScaleSheetLayoutView="175"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2" ht="21" x14ac:dyDescent="0.35">
      <c r="A1" s="11" t="s">
        <v>87</v>
      </c>
      <c r="B1" s="11"/>
      <c r="C1" s="11"/>
      <c r="D1" s="11"/>
      <c r="E1" s="11"/>
    </row>
    <row r="2" spans="1:12" ht="26.25" x14ac:dyDescent="0.4">
      <c r="A2" s="856" t="s">
        <v>913</v>
      </c>
      <c r="B2" s="856"/>
      <c r="C2" s="856"/>
      <c r="D2" s="856"/>
      <c r="E2" s="856"/>
    </row>
    <row r="3" spans="1:12" ht="27" thickBot="1" x14ac:dyDescent="0.45">
      <c r="A3" s="404"/>
      <c r="B3" s="404"/>
      <c r="C3" s="404"/>
      <c r="D3" s="404"/>
      <c r="E3" s="404"/>
    </row>
    <row r="4" spans="1:12" ht="24" customHeight="1" thickBot="1" x14ac:dyDescent="0.3">
      <c r="A4" s="12"/>
      <c r="B4" s="233" t="s">
        <v>469</v>
      </c>
      <c r="C4" s="851" t="s">
        <v>39</v>
      </c>
      <c r="D4" s="852"/>
      <c r="E4" s="175" t="s">
        <v>800</v>
      </c>
      <c r="G4" s="848" t="s">
        <v>914</v>
      </c>
      <c r="H4" s="848"/>
      <c r="I4" s="848"/>
    </row>
    <row r="5" spans="1:12" ht="24" customHeight="1" x14ac:dyDescent="0.25">
      <c r="A5" s="381" t="s">
        <v>651</v>
      </c>
      <c r="B5" s="382" t="s">
        <v>50</v>
      </c>
      <c r="C5" s="820" t="s">
        <v>18</v>
      </c>
      <c r="D5" s="820"/>
      <c r="E5" s="232" t="s">
        <v>19</v>
      </c>
      <c r="G5" s="848" t="s">
        <v>915</v>
      </c>
      <c r="H5" s="848"/>
      <c r="I5" s="848"/>
    </row>
    <row r="6" spans="1:12" ht="16.5" thickBot="1" x14ac:dyDescent="0.3">
      <c r="A6" s="379" t="s">
        <v>660</v>
      </c>
      <c r="B6" s="380" t="s">
        <v>398</v>
      </c>
      <c r="G6" s="850" t="s">
        <v>916</v>
      </c>
      <c r="H6" s="850"/>
      <c r="I6" s="850"/>
    </row>
    <row r="7" spans="1:12" ht="15.75" thickBot="1" x14ac:dyDescent="0.3">
      <c r="A7" s="207" t="s">
        <v>1</v>
      </c>
      <c r="B7" s="820" t="s">
        <v>803</v>
      </c>
      <c r="C7" s="820"/>
      <c r="D7" s="820"/>
      <c r="E7" s="820"/>
    </row>
    <row r="8" spans="1:12" ht="15.75" thickBot="1" x14ac:dyDescent="0.3">
      <c r="A8" s="207" t="s">
        <v>0</v>
      </c>
      <c r="B8" s="820" t="s">
        <v>804</v>
      </c>
      <c r="C8" s="820"/>
      <c r="D8" s="820"/>
      <c r="E8" s="820"/>
    </row>
    <row r="9" spans="1:12" ht="50.25" customHeight="1" x14ac:dyDescent="0.25">
      <c r="A9" s="208" t="s">
        <v>2</v>
      </c>
      <c r="B9" s="890" t="s">
        <v>805</v>
      </c>
      <c r="C9" s="889"/>
      <c r="D9" s="889"/>
      <c r="E9" s="889"/>
      <c r="G9" s="275" t="s">
        <v>578</v>
      </c>
      <c r="H9" s="275" t="s">
        <v>806</v>
      </c>
      <c r="I9" s="275" t="s">
        <v>807</v>
      </c>
      <c r="J9" s="275" t="s">
        <v>808</v>
      </c>
      <c r="K9" s="275" t="s">
        <v>809</v>
      </c>
      <c r="L9" s="278" t="s">
        <v>810</v>
      </c>
    </row>
    <row r="10" spans="1:12" ht="29.25" customHeight="1" x14ac:dyDescent="0.25">
      <c r="A10" s="208" t="s">
        <v>31</v>
      </c>
      <c r="B10" s="890"/>
      <c r="C10" s="889"/>
      <c r="D10" s="889"/>
      <c r="E10" s="889"/>
      <c r="G10" s="275">
        <v>20</v>
      </c>
      <c r="H10" s="275">
        <f>G10*20</f>
        <v>400</v>
      </c>
      <c r="I10" s="275">
        <f>G10*10000</f>
        <v>200000</v>
      </c>
      <c r="J10" s="275">
        <v>0.26100000000000001</v>
      </c>
      <c r="K10" s="275">
        <v>500</v>
      </c>
      <c r="L10" s="278">
        <v>70</v>
      </c>
    </row>
    <row r="11" spans="1:12" ht="30" customHeight="1" x14ac:dyDescent="0.25">
      <c r="A11" s="209" t="s">
        <v>16</v>
      </c>
      <c r="B11" s="874" t="s">
        <v>39</v>
      </c>
      <c r="C11" s="874"/>
      <c r="D11" s="874"/>
      <c r="E11" s="874"/>
    </row>
    <row r="12" spans="1:12" ht="30" customHeight="1" x14ac:dyDescent="0.25">
      <c r="A12" s="209" t="s">
        <v>3</v>
      </c>
      <c r="B12" s="874"/>
      <c r="C12" s="874"/>
      <c r="D12" s="874"/>
      <c r="E12" s="874"/>
    </row>
    <row r="13" spans="1:12" ht="30" customHeight="1" x14ac:dyDescent="0.25">
      <c r="A13" s="209" t="s">
        <v>17</v>
      </c>
      <c r="B13" s="874"/>
      <c r="C13" s="874"/>
      <c r="D13" s="874"/>
      <c r="E13" s="874"/>
    </row>
    <row r="14" spans="1:12" ht="30" customHeight="1" x14ac:dyDescent="0.25">
      <c r="A14" s="209" t="s">
        <v>4</v>
      </c>
      <c r="B14" s="874">
        <v>2016</v>
      </c>
      <c r="C14" s="874"/>
      <c r="D14" s="874"/>
      <c r="E14" s="874"/>
    </row>
    <row r="15" spans="1:12" ht="30" customHeight="1" x14ac:dyDescent="0.25">
      <c r="A15" s="209" t="s">
        <v>5</v>
      </c>
      <c r="B15" s="874">
        <v>2020</v>
      </c>
      <c r="C15" s="874"/>
      <c r="D15" s="874"/>
      <c r="E15" s="874"/>
    </row>
    <row r="16" spans="1:12" ht="30" customHeight="1" x14ac:dyDescent="0.25">
      <c r="A16" s="209" t="s">
        <v>6</v>
      </c>
      <c r="B16" s="845">
        <f>G10*K10</f>
        <v>10000</v>
      </c>
      <c r="C16" s="845"/>
      <c r="D16" s="845"/>
      <c r="E16" s="845"/>
    </row>
    <row r="17" spans="1:9" ht="30" customHeight="1" x14ac:dyDescent="0.25">
      <c r="A17" s="209" t="s">
        <v>7</v>
      </c>
      <c r="B17" s="845">
        <f>B16*0.7</f>
        <v>7000</v>
      </c>
      <c r="C17" s="845"/>
      <c r="D17" s="845"/>
      <c r="E17" s="845"/>
    </row>
    <row r="18" spans="1:9" ht="30" customHeight="1" x14ac:dyDescent="0.25">
      <c r="A18" s="276" t="s">
        <v>468</v>
      </c>
      <c r="B18" s="989"/>
      <c r="C18" s="990"/>
      <c r="D18" s="990"/>
      <c r="E18" s="990"/>
      <c r="G18" s="2"/>
      <c r="H18" s="2"/>
    </row>
    <row r="19" spans="1:9" ht="30" customHeight="1" x14ac:dyDescent="0.25">
      <c r="A19" s="277" t="s">
        <v>467</v>
      </c>
      <c r="B19" s="991">
        <f>I10*10</f>
        <v>2000000</v>
      </c>
      <c r="C19" s="992"/>
      <c r="D19" s="992"/>
      <c r="E19" s="992"/>
    </row>
    <row r="20" spans="1:9" ht="30" customHeight="1" x14ac:dyDescent="0.25">
      <c r="A20" s="209" t="s">
        <v>8</v>
      </c>
      <c r="B20" s="845">
        <f>H10*L10</f>
        <v>28000</v>
      </c>
      <c r="C20" s="845"/>
      <c r="D20" s="845"/>
      <c r="E20" s="845"/>
    </row>
    <row r="21" spans="1:9" ht="30" customHeight="1" x14ac:dyDescent="0.25">
      <c r="A21" s="209" t="s">
        <v>9</v>
      </c>
      <c r="B21" s="874"/>
      <c r="C21" s="874"/>
      <c r="D21" s="874"/>
      <c r="E21" s="874"/>
    </row>
    <row r="22" spans="1:9" ht="30" customHeight="1" x14ac:dyDescent="0.25">
      <c r="A22" s="209" t="s">
        <v>465</v>
      </c>
      <c r="B22" s="846">
        <f>B16/(B20+B21)</f>
        <v>0.35714285714285715</v>
      </c>
      <c r="C22" s="846"/>
      <c r="D22" s="846"/>
      <c r="E22" s="846"/>
    </row>
    <row r="23" spans="1:9" ht="30" customHeight="1" x14ac:dyDescent="0.25">
      <c r="A23" s="209" t="s">
        <v>466</v>
      </c>
      <c r="B23" s="925">
        <f>(B16-B17)/(B20+B21)</f>
        <v>0.10714285714285714</v>
      </c>
      <c r="C23" s="925"/>
      <c r="D23" s="925"/>
      <c r="E23" s="925"/>
    </row>
    <row r="24" spans="1:9" ht="30" customHeight="1" x14ac:dyDescent="0.25">
      <c r="A24" s="220" t="s">
        <v>476</v>
      </c>
      <c r="B24" s="993">
        <f>B19*J10/1000</f>
        <v>522</v>
      </c>
      <c r="C24" s="993"/>
      <c r="D24" s="993"/>
      <c r="E24" s="993"/>
      <c r="F24" s="37">
        <v>0.26100000000000001</v>
      </c>
    </row>
    <row r="25" spans="1:9" ht="30" customHeight="1" x14ac:dyDescent="0.25">
      <c r="A25" s="212" t="s">
        <v>463</v>
      </c>
      <c r="B25" s="994">
        <f>B24/'Objectifs CO2'!C10</f>
        <v>0.75641491306430653</v>
      </c>
      <c r="C25" s="994"/>
      <c r="D25" s="994"/>
      <c r="E25" s="994"/>
    </row>
    <row r="26" spans="1:9" ht="30" customHeight="1" x14ac:dyDescent="0.25">
      <c r="A26" s="213" t="s">
        <v>464</v>
      </c>
      <c r="B26" s="995">
        <f>B24/'Objectifs CO2'!C8</f>
        <v>7.564149130643065E-2</v>
      </c>
      <c r="C26" s="995"/>
      <c r="D26" s="995"/>
      <c r="E26" s="995"/>
    </row>
    <row r="27" spans="1:9" ht="30" customHeight="1" x14ac:dyDescent="0.25">
      <c r="A27" s="213" t="s">
        <v>24</v>
      </c>
      <c r="B27" s="853"/>
      <c r="C27" s="853"/>
      <c r="D27" s="853"/>
      <c r="E27" s="853"/>
    </row>
    <row r="28" spans="1:9" ht="30" customHeight="1" x14ac:dyDescent="0.25">
      <c r="A28" s="213" t="s">
        <v>418</v>
      </c>
      <c r="B28" s="853"/>
      <c r="C28" s="853"/>
      <c r="D28" s="853"/>
      <c r="E28" s="853"/>
    </row>
    <row r="30" spans="1:9" x14ac:dyDescent="0.25">
      <c r="B30" s="867" t="s">
        <v>530</v>
      </c>
      <c r="C30" s="867"/>
      <c r="D30" s="867"/>
      <c r="E30" s="143" t="s">
        <v>538</v>
      </c>
    </row>
    <row r="31" spans="1:9" x14ac:dyDescent="0.25">
      <c r="B31" s="864" t="s">
        <v>521</v>
      </c>
      <c r="C31" s="864"/>
      <c r="D31" s="864"/>
      <c r="E31" s="114"/>
      <c r="G31" s="866" t="s">
        <v>538</v>
      </c>
      <c r="H31" s="866"/>
      <c r="I31" s="866"/>
    </row>
    <row r="32" spans="1:9" x14ac:dyDescent="0.25">
      <c r="B32" s="864" t="s">
        <v>522</v>
      </c>
      <c r="C32" s="864"/>
      <c r="D32" s="864"/>
      <c r="E32" s="114"/>
      <c r="G32" s="252">
        <v>3</v>
      </c>
      <c r="H32" s="866" t="s">
        <v>535</v>
      </c>
      <c r="I32" s="866"/>
    </row>
    <row r="33" spans="2:9" x14ac:dyDescent="0.25">
      <c r="B33" s="864" t="s">
        <v>524</v>
      </c>
      <c r="C33" s="864"/>
      <c r="D33" s="864"/>
      <c r="E33" s="114"/>
      <c r="G33" s="252">
        <v>2</v>
      </c>
      <c r="H33" s="866" t="s">
        <v>536</v>
      </c>
      <c r="I33" s="866"/>
    </row>
    <row r="34" spans="2:9" x14ac:dyDescent="0.25">
      <c r="B34" s="864" t="s">
        <v>523</v>
      </c>
      <c r="C34" s="864"/>
      <c r="D34" s="864"/>
      <c r="E34" s="114"/>
      <c r="G34" s="252">
        <v>1</v>
      </c>
      <c r="H34" s="866" t="s">
        <v>537</v>
      </c>
      <c r="I34" s="866"/>
    </row>
    <row r="35" spans="2:9" x14ac:dyDescent="0.25">
      <c r="B35" s="864" t="s">
        <v>525</v>
      </c>
      <c r="C35" s="864"/>
      <c r="D35" s="864"/>
      <c r="E35" s="114"/>
    </row>
    <row r="36" spans="2:9" x14ac:dyDescent="0.25">
      <c r="B36" s="864" t="s">
        <v>526</v>
      </c>
      <c r="C36" s="864"/>
      <c r="D36" s="864"/>
      <c r="E36" s="114"/>
    </row>
    <row r="37" spans="2:9" x14ac:dyDescent="0.25">
      <c r="B37" s="864" t="s">
        <v>527</v>
      </c>
      <c r="C37" s="864"/>
      <c r="D37" s="864"/>
      <c r="E37" s="114"/>
    </row>
    <row r="38" spans="2:9" x14ac:dyDescent="0.25">
      <c r="B38" s="864" t="s">
        <v>528</v>
      </c>
      <c r="C38" s="864"/>
      <c r="D38" s="864"/>
      <c r="E38" s="114"/>
    </row>
    <row r="39" spans="2:9" x14ac:dyDescent="0.25">
      <c r="B39" s="864" t="s">
        <v>529</v>
      </c>
      <c r="C39" s="864"/>
      <c r="D39" s="864"/>
      <c r="E39" s="114"/>
      <c r="G39" s="863" t="s">
        <v>541</v>
      </c>
      <c r="H39" s="863"/>
      <c r="I39" s="863"/>
    </row>
    <row r="40" spans="2:9" x14ac:dyDescent="0.25">
      <c r="B40" s="865" t="s">
        <v>395</v>
      </c>
      <c r="C40" s="865"/>
      <c r="D40" s="865"/>
      <c r="E40" s="258">
        <f>SUM(E31:E39)</f>
        <v>0</v>
      </c>
      <c r="G40" s="254" t="s">
        <v>542</v>
      </c>
      <c r="H40" s="257" t="s">
        <v>543</v>
      </c>
      <c r="I40" s="254" t="s">
        <v>544</v>
      </c>
    </row>
    <row r="41" spans="2:9" x14ac:dyDescent="0.25">
      <c r="E41" s="202" t="s">
        <v>576</v>
      </c>
      <c r="G41" s="254" t="s">
        <v>545</v>
      </c>
      <c r="H41" s="254" t="s">
        <v>547</v>
      </c>
      <c r="I41" s="254" t="s">
        <v>546</v>
      </c>
    </row>
    <row r="43" spans="2:9" x14ac:dyDescent="0.25">
      <c r="B43" s="860" t="s">
        <v>520</v>
      </c>
      <c r="C43" s="861"/>
      <c r="D43" s="862"/>
      <c r="E43" s="251">
        <v>1</v>
      </c>
      <c r="G43" s="254">
        <v>1</v>
      </c>
      <c r="H43" s="254" t="s">
        <v>539</v>
      </c>
    </row>
    <row r="44" spans="2:9" x14ac:dyDescent="0.25">
      <c r="G44" s="254">
        <v>0</v>
      </c>
      <c r="H44" s="254" t="s">
        <v>540</v>
      </c>
    </row>
  </sheetData>
  <mergeCells count="45">
    <mergeCell ref="B40:D40"/>
    <mergeCell ref="B43:D43"/>
    <mergeCell ref="B35:D35"/>
    <mergeCell ref="B36:D36"/>
    <mergeCell ref="B37:D37"/>
    <mergeCell ref="B38:D38"/>
    <mergeCell ref="B39:D39"/>
    <mergeCell ref="G39:I39"/>
    <mergeCell ref="B32:D32"/>
    <mergeCell ref="H32:I32"/>
    <mergeCell ref="B33:D33"/>
    <mergeCell ref="H33:I33"/>
    <mergeCell ref="B34:D34"/>
    <mergeCell ref="H34:I34"/>
    <mergeCell ref="G31:I31"/>
    <mergeCell ref="B20:E20"/>
    <mergeCell ref="B21:E21"/>
    <mergeCell ref="B22:E22"/>
    <mergeCell ref="B23:E23"/>
    <mergeCell ref="B24:E24"/>
    <mergeCell ref="B25:E25"/>
    <mergeCell ref="B26:E26"/>
    <mergeCell ref="B27:E27"/>
    <mergeCell ref="B28:E28"/>
    <mergeCell ref="B30:D30"/>
    <mergeCell ref="B31:D31"/>
    <mergeCell ref="B19:E19"/>
    <mergeCell ref="B8:E8"/>
    <mergeCell ref="B9:E9"/>
    <mergeCell ref="B10:E10"/>
    <mergeCell ref="B11:E11"/>
    <mergeCell ref="B12:E12"/>
    <mergeCell ref="B13:E13"/>
    <mergeCell ref="B14:E14"/>
    <mergeCell ref="B15:E15"/>
    <mergeCell ref="B16:E16"/>
    <mergeCell ref="B17:E17"/>
    <mergeCell ref="B18:E18"/>
    <mergeCell ref="B7:E7"/>
    <mergeCell ref="A2:E2"/>
    <mergeCell ref="G4:I4"/>
    <mergeCell ref="C5:D5"/>
    <mergeCell ref="G5:I5"/>
    <mergeCell ref="G6:I6"/>
    <mergeCell ref="C4:D4"/>
  </mergeCells>
  <conditionalFormatting sqref="E5">
    <cfRule type="containsText" dxfId="20" priority="1" operator="containsText" text="Terminé">
      <formula>NOT(ISERROR(SEARCH("Terminé",E5)))</formula>
    </cfRule>
    <cfRule type="containsText" dxfId="19" priority="2" operator="containsText" text="En cours">
      <formula>NOT(ISERROR(SEARCH("En cours",E5)))</formula>
    </cfRule>
    <cfRule type="containsText" dxfId="18"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pageSetup paperSize="9" scale="89" orientation="portrait" r:id="rId1"/>
  <rowBreaks count="1" manualBreakCount="1">
    <brk id="28" max="5" man="1"/>
  </rowBreaks>
  <colBreaks count="1" manualBreakCount="1">
    <brk id="6"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CO2'!$R$8:$R$15</xm:f>
          </x14:formula1>
          <xm:sqref>B5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CO2'!$P$8:$P$12</xm:f>
          </x14:formula1>
          <xm:sqref>E5</xm:sqref>
        </x14:dataValidation>
        <x14:dataValidation type="list" allowBlank="1" showInputMessage="1" showErrorMessage="1">
          <x14:formula1>
            <xm:f>'Objectifs CO2'!$U$3:$U$9</xm:f>
          </x14:formula1>
          <xm:sqref>C4:D4</xm:sqref>
        </x14:dataValidation>
      </x14:dataValidations>
    </ext>
  </extLst>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8"/>
  <sheetViews>
    <sheetView topLeftCell="A4" zoomScaleNormal="100" zoomScaleSheetLayoutView="220"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2" ht="21" x14ac:dyDescent="0.35">
      <c r="A1" s="11" t="s">
        <v>87</v>
      </c>
      <c r="B1" s="11"/>
      <c r="C1" s="11"/>
      <c r="D1" s="11"/>
      <c r="E1" s="11"/>
    </row>
    <row r="2" spans="1:12" ht="26.25" x14ac:dyDescent="0.4">
      <c r="A2" s="856" t="s">
        <v>913</v>
      </c>
      <c r="B2" s="856"/>
      <c r="C2" s="856"/>
      <c r="D2" s="856"/>
      <c r="E2" s="856"/>
    </row>
    <row r="3" spans="1:12" ht="27" thickBot="1" x14ac:dyDescent="0.45">
      <c r="A3" s="206"/>
      <c r="B3" s="206"/>
      <c r="C3" s="206"/>
      <c r="D3" s="206"/>
      <c r="E3" s="206"/>
    </row>
    <row r="4" spans="1:12" ht="24" customHeight="1" thickBot="1" x14ac:dyDescent="0.3">
      <c r="A4" s="12"/>
      <c r="B4" s="233" t="s">
        <v>469</v>
      </c>
      <c r="C4" s="851" t="s">
        <v>611</v>
      </c>
      <c r="D4" s="852"/>
      <c r="E4" s="175" t="s">
        <v>478</v>
      </c>
      <c r="G4" s="848" t="s">
        <v>914</v>
      </c>
      <c r="H4" s="848"/>
      <c r="I4" s="848"/>
    </row>
    <row r="5" spans="1:12" ht="24" customHeight="1" x14ac:dyDescent="0.25">
      <c r="A5" s="381" t="s">
        <v>651</v>
      </c>
      <c r="B5" s="382" t="s">
        <v>657</v>
      </c>
      <c r="C5" s="820" t="s">
        <v>18</v>
      </c>
      <c r="D5" s="820"/>
      <c r="E5" s="232" t="s">
        <v>21</v>
      </c>
      <c r="G5" s="848" t="s">
        <v>915</v>
      </c>
      <c r="H5" s="848"/>
      <c r="I5" s="848"/>
    </row>
    <row r="6" spans="1:12" ht="16.5" thickBot="1" x14ac:dyDescent="0.3">
      <c r="A6" s="379" t="s">
        <v>660</v>
      </c>
      <c r="B6" s="380" t="s">
        <v>28</v>
      </c>
      <c r="G6" s="850" t="s">
        <v>916</v>
      </c>
      <c r="H6" s="850"/>
      <c r="I6" s="850"/>
    </row>
    <row r="7" spans="1:12" ht="24" customHeight="1" thickBot="1" x14ac:dyDescent="0.3">
      <c r="A7" s="207" t="s">
        <v>1</v>
      </c>
      <c r="B7" s="820" t="s">
        <v>470</v>
      </c>
      <c r="C7" s="820"/>
      <c r="D7" s="820"/>
      <c r="E7" s="820"/>
    </row>
    <row r="8" spans="1:12" ht="24" customHeight="1" thickBot="1" x14ac:dyDescent="0.3">
      <c r="A8" s="207" t="s">
        <v>0</v>
      </c>
      <c r="B8" s="820" t="s">
        <v>471</v>
      </c>
      <c r="C8" s="820"/>
      <c r="D8" s="820"/>
      <c r="E8" s="820"/>
    </row>
    <row r="9" spans="1:12" ht="57" customHeight="1" x14ac:dyDescent="0.25">
      <c r="A9" s="208" t="s">
        <v>2</v>
      </c>
      <c r="B9" s="890" t="s">
        <v>481</v>
      </c>
      <c r="C9" s="889"/>
      <c r="D9" s="889"/>
      <c r="E9" s="889"/>
      <c r="G9" s="117" t="s">
        <v>472</v>
      </c>
      <c r="H9" s="117" t="s">
        <v>473</v>
      </c>
      <c r="I9" s="117" t="s">
        <v>474</v>
      </c>
      <c r="J9" s="117" t="s">
        <v>475</v>
      </c>
      <c r="K9" s="117" t="s">
        <v>234</v>
      </c>
      <c r="L9" s="117"/>
    </row>
    <row r="10" spans="1:12" ht="15.75" x14ac:dyDescent="0.25">
      <c r="A10" s="208" t="s">
        <v>31</v>
      </c>
      <c r="B10" s="890" t="s">
        <v>482</v>
      </c>
      <c r="C10" s="889"/>
      <c r="D10" s="889"/>
      <c r="E10" s="889"/>
      <c r="G10" s="117">
        <v>278425</v>
      </c>
      <c r="H10" s="117">
        <v>8259</v>
      </c>
      <c r="I10" s="117">
        <f>I14</f>
        <v>10932.480000000001</v>
      </c>
      <c r="J10" s="117">
        <v>0.36499999999999999</v>
      </c>
      <c r="K10" s="117">
        <v>0.04</v>
      </c>
      <c r="L10" s="117"/>
    </row>
    <row r="11" spans="1:12" ht="30" customHeight="1" x14ac:dyDescent="0.25">
      <c r="A11" s="209" t="s">
        <v>16</v>
      </c>
      <c r="B11" s="874" t="s">
        <v>518</v>
      </c>
      <c r="C11" s="874"/>
      <c r="D11" s="874"/>
      <c r="E11" s="874"/>
    </row>
    <row r="12" spans="1:12" ht="30" customHeight="1" x14ac:dyDescent="0.25">
      <c r="A12" s="209" t="s">
        <v>3</v>
      </c>
      <c r="B12" s="874"/>
      <c r="C12" s="874"/>
      <c r="D12" s="874"/>
      <c r="E12" s="874"/>
      <c r="H12" s="281">
        <v>0.4</v>
      </c>
      <c r="I12" s="281">
        <v>6</v>
      </c>
      <c r="J12" s="37" t="s">
        <v>609</v>
      </c>
    </row>
    <row r="13" spans="1:12" ht="30" customHeight="1" x14ac:dyDescent="0.25">
      <c r="A13" s="209" t="s">
        <v>17</v>
      </c>
      <c r="B13" s="874"/>
      <c r="C13" s="874"/>
      <c r="D13" s="874"/>
      <c r="E13" s="874"/>
      <c r="H13" s="281">
        <v>0.2</v>
      </c>
      <c r="I13" s="281">
        <v>12</v>
      </c>
      <c r="J13" s="37" t="s">
        <v>610</v>
      </c>
    </row>
    <row r="14" spans="1:12" ht="30" customHeight="1" x14ac:dyDescent="0.25">
      <c r="A14" s="209" t="s">
        <v>4</v>
      </c>
      <c r="B14" s="874">
        <v>2014</v>
      </c>
      <c r="C14" s="874"/>
      <c r="D14" s="874"/>
      <c r="E14" s="874"/>
      <c r="H14" s="281">
        <f>H12*I12+H13*I13</f>
        <v>4.8000000000000007</v>
      </c>
      <c r="I14" s="281">
        <f>H14*365*24*0.26</f>
        <v>10932.480000000001</v>
      </c>
    </row>
    <row r="15" spans="1:12" ht="30" customHeight="1" x14ac:dyDescent="0.25">
      <c r="A15" s="209" t="s">
        <v>5</v>
      </c>
      <c r="B15" s="874">
        <v>2020</v>
      </c>
      <c r="C15" s="874"/>
      <c r="D15" s="874"/>
      <c r="E15" s="874"/>
    </row>
    <row r="16" spans="1:12" ht="30" customHeight="1" x14ac:dyDescent="0.25">
      <c r="A16" s="209" t="s">
        <v>6</v>
      </c>
      <c r="B16" s="845">
        <f>3500000*4.4/G10*H10</f>
        <v>456814.5820238844</v>
      </c>
      <c r="C16" s="845"/>
      <c r="D16" s="845"/>
      <c r="E16" s="845"/>
    </row>
    <row r="17" spans="1:8" ht="30" customHeight="1" x14ac:dyDescent="0.25">
      <c r="A17" s="209" t="s">
        <v>7</v>
      </c>
      <c r="B17" s="845">
        <f>B16*0.3</f>
        <v>137044.37460716531</v>
      </c>
      <c r="C17" s="845"/>
      <c r="D17" s="845"/>
      <c r="E17" s="845"/>
    </row>
    <row r="18" spans="1:8" ht="30" customHeight="1" x14ac:dyDescent="0.25">
      <c r="A18" s="210" t="s">
        <v>468</v>
      </c>
      <c r="B18" s="981">
        <v>0</v>
      </c>
      <c r="C18" s="982"/>
      <c r="D18" s="982"/>
      <c r="E18" s="982"/>
      <c r="G18" s="2"/>
      <c r="H18" s="2"/>
    </row>
    <row r="19" spans="1:8" ht="30" customHeight="1" x14ac:dyDescent="0.25">
      <c r="A19" s="238" t="s">
        <v>467</v>
      </c>
      <c r="B19" s="983">
        <f>I10*H10/G10*1000</f>
        <v>324293.26504444645</v>
      </c>
      <c r="C19" s="984"/>
      <c r="D19" s="984"/>
      <c r="E19" s="984"/>
      <c r="G19" s="2"/>
      <c r="H19" s="2"/>
    </row>
    <row r="20" spans="1:8" ht="30" customHeight="1" x14ac:dyDescent="0.25">
      <c r="A20" s="209" t="s">
        <v>8</v>
      </c>
      <c r="B20" s="845">
        <f>B19*K10</f>
        <v>12971.730601777859</v>
      </c>
      <c r="C20" s="845"/>
      <c r="D20" s="845"/>
      <c r="E20" s="845"/>
    </row>
    <row r="21" spans="1:8" ht="30" customHeight="1" x14ac:dyDescent="0.25">
      <c r="A21" s="209" t="s">
        <v>9</v>
      </c>
      <c r="B21" s="845">
        <f>B19/1000*65</f>
        <v>21079.062227889019</v>
      </c>
      <c r="C21" s="845"/>
      <c r="D21" s="845"/>
      <c r="E21" s="845"/>
    </row>
    <row r="22" spans="1:8" ht="30" customHeight="1" x14ac:dyDescent="0.25">
      <c r="A22" s="209" t="s">
        <v>465</v>
      </c>
      <c r="B22" s="846">
        <f>B16/(B20+B21)</f>
        <v>13.415681223900403</v>
      </c>
      <c r="C22" s="846"/>
      <c r="D22" s="846"/>
      <c r="E22" s="846"/>
    </row>
    <row r="23" spans="1:8" ht="30" customHeight="1" x14ac:dyDescent="0.25">
      <c r="A23" s="209" t="s">
        <v>466</v>
      </c>
      <c r="B23" s="925">
        <f>(B16-B17)/(B20+B21)</f>
        <v>9.3909768567302816</v>
      </c>
      <c r="C23" s="925"/>
      <c r="D23" s="925"/>
      <c r="E23" s="925"/>
    </row>
    <row r="24" spans="1:8" ht="30" customHeight="1" x14ac:dyDescent="0.25">
      <c r="A24" s="211" t="s">
        <v>476</v>
      </c>
      <c r="B24" s="985">
        <f>B19/1000*J10</f>
        <v>118.36704174122295</v>
      </c>
      <c r="C24" s="985"/>
      <c r="D24" s="985"/>
      <c r="E24" s="985"/>
    </row>
    <row r="25" spans="1:8" ht="30" customHeight="1" x14ac:dyDescent="0.25">
      <c r="A25" s="212" t="s">
        <v>463</v>
      </c>
      <c r="B25" s="881">
        <f>B24/'Objectifs CO2'!C9</f>
        <v>0.34304442754163333</v>
      </c>
      <c r="C25" s="881"/>
      <c r="D25" s="881"/>
      <c r="E25" s="881"/>
    </row>
    <row r="26" spans="1:8" ht="30" customHeight="1" x14ac:dyDescent="0.25">
      <c r="A26" s="213" t="s">
        <v>464</v>
      </c>
      <c r="B26" s="881">
        <f>B24/'Objectifs CO2'!C8</f>
        <v>1.7152221377081667E-2</v>
      </c>
      <c r="C26" s="881"/>
      <c r="D26" s="881"/>
      <c r="E26" s="881"/>
    </row>
    <row r="27" spans="1:8" ht="30" customHeight="1" x14ac:dyDescent="0.25">
      <c r="A27" s="213" t="s">
        <v>24</v>
      </c>
      <c r="B27" s="874"/>
      <c r="C27" s="874"/>
      <c r="D27" s="874"/>
      <c r="E27" s="874"/>
    </row>
    <row r="28" spans="1:8" ht="30" customHeight="1" x14ac:dyDescent="0.25">
      <c r="A28" s="213" t="s">
        <v>418</v>
      </c>
      <c r="B28" s="853"/>
      <c r="C28" s="853"/>
      <c r="D28" s="853"/>
      <c r="E28" s="853"/>
    </row>
  </sheetData>
  <mergeCells count="28">
    <mergeCell ref="G6:I6"/>
    <mergeCell ref="B11:E11"/>
    <mergeCell ref="B12:E12"/>
    <mergeCell ref="B13:E13"/>
    <mergeCell ref="B14:E14"/>
    <mergeCell ref="B15:E15"/>
    <mergeCell ref="A2:E2"/>
    <mergeCell ref="C5:D5"/>
    <mergeCell ref="B7:E7"/>
    <mergeCell ref="B8:E8"/>
    <mergeCell ref="B9:E9"/>
    <mergeCell ref="C4:D4"/>
    <mergeCell ref="G4:I4"/>
    <mergeCell ref="G5:I5"/>
    <mergeCell ref="B28:E28"/>
    <mergeCell ref="B17:E17"/>
    <mergeCell ref="B18:E18"/>
    <mergeCell ref="B19:E19"/>
    <mergeCell ref="B20:E20"/>
    <mergeCell ref="B21:E21"/>
    <mergeCell ref="B22:E22"/>
    <mergeCell ref="B23:E23"/>
    <mergeCell ref="B24:E24"/>
    <mergeCell ref="B25:E25"/>
    <mergeCell ref="B26:E26"/>
    <mergeCell ref="B27:E27"/>
    <mergeCell ref="B16:E16"/>
    <mergeCell ref="B10:E10"/>
  </mergeCells>
  <conditionalFormatting sqref="E5">
    <cfRule type="containsText" dxfId="17" priority="1" operator="containsText" text="Terminé">
      <formula>NOT(ISERROR(SEARCH("Terminé",E5)))</formula>
    </cfRule>
    <cfRule type="containsText" dxfId="16" priority="2" operator="containsText" text="En cours">
      <formula>NOT(ISERROR(SEARCH("En cours",E5)))</formula>
    </cfRule>
    <cfRule type="containsText" dxfId="15" priority="3" operator="containsText" text="A faire">
      <formula>NOT(ISERROR(SEARCH("A faire",E5)))</formula>
    </cfRule>
  </conditionalFormatting>
  <hyperlinks>
    <hyperlink ref="G4:I4" location="'Objectifs CO2'!A1" display="Lien vers Objectifs CO2"/>
    <hyperlink ref="G5:I5" location="'Synthèse CO2'!A1" display="Lien synthèse CO2"/>
    <hyperlink ref="G6" location="CALENDRIER!A1" display="Lien vers CALENDRIER"/>
  </hyperlinks>
  <pageMargins left="0.7" right="0.7" top="0.75" bottom="0.75" header="0.3" footer="0.3"/>
  <pageSetup paperSize="9" scale="90" orientation="portrait" r:id="rId1"/>
  <colBreaks count="1" manualBreakCount="1">
    <brk id="5"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44"/>
  <sheetViews>
    <sheetView topLeftCell="A7" zoomScaleNormal="100" zoomScaleSheetLayoutView="110" workbookViewId="0">
      <selection activeCell="G4" sqref="G4:I4"/>
    </sheetView>
  </sheetViews>
  <sheetFormatPr baseColWidth="10" defaultRowHeight="15" x14ac:dyDescent="0.25"/>
  <cols>
    <col min="1" max="1" width="40.7109375" style="39" customWidth="1"/>
    <col min="2" max="2" width="16.7109375" style="39" customWidth="1"/>
    <col min="3" max="3" width="17.140625" style="39" customWidth="1"/>
    <col min="4" max="4" width="5.5703125" style="39" bestFit="1" customWidth="1"/>
    <col min="5" max="5" width="17.42578125" style="39" customWidth="1"/>
    <col min="6" max="6" width="1.140625" style="39" customWidth="1"/>
    <col min="7" max="16384" width="11.42578125" style="39"/>
  </cols>
  <sheetData>
    <row r="1" spans="1:9" ht="21" x14ac:dyDescent="0.35">
      <c r="A1" s="11" t="s">
        <v>87</v>
      </c>
      <c r="B1" s="11"/>
      <c r="C1" s="11"/>
      <c r="D1" s="11"/>
      <c r="E1" s="11"/>
    </row>
    <row r="2" spans="1:9" ht="26.25" x14ac:dyDescent="0.4">
      <c r="A2" s="856" t="s">
        <v>913</v>
      </c>
      <c r="B2" s="856"/>
      <c r="C2" s="856"/>
      <c r="D2" s="856"/>
      <c r="E2" s="856"/>
    </row>
    <row r="3" spans="1:9" ht="27" thickBot="1" x14ac:dyDescent="0.45">
      <c r="A3" s="40"/>
      <c r="B3" s="40"/>
      <c r="C3" s="40"/>
      <c r="D3" s="40"/>
      <c r="E3" s="40"/>
    </row>
    <row r="4" spans="1:9" ht="15.75" thickBot="1" x14ac:dyDescent="0.3">
      <c r="A4" s="76"/>
      <c r="B4" s="234" t="s">
        <v>469</v>
      </c>
      <c r="C4" s="851" t="s">
        <v>611</v>
      </c>
      <c r="D4" s="852"/>
      <c r="E4" s="174" t="s">
        <v>182</v>
      </c>
      <c r="G4" s="848" t="s">
        <v>914</v>
      </c>
      <c r="H4" s="848"/>
      <c r="I4" s="848"/>
    </row>
    <row r="5" spans="1:9" ht="18.75" customHeight="1" x14ac:dyDescent="0.25">
      <c r="A5" s="381" t="s">
        <v>651</v>
      </c>
      <c r="B5" s="382" t="s">
        <v>659</v>
      </c>
      <c r="C5" s="857" t="s">
        <v>18</v>
      </c>
      <c r="D5" s="857"/>
      <c r="E5" s="232" t="s">
        <v>20</v>
      </c>
      <c r="G5" s="848" t="s">
        <v>915</v>
      </c>
      <c r="H5" s="848"/>
      <c r="I5" s="848"/>
    </row>
    <row r="6" spans="1:9" ht="16.5" thickBot="1" x14ac:dyDescent="0.3">
      <c r="A6" s="379" t="s">
        <v>660</v>
      </c>
      <c r="B6" s="380" t="s">
        <v>658</v>
      </c>
      <c r="C6" s="77"/>
      <c r="D6" s="77"/>
      <c r="E6" s="77"/>
      <c r="G6" s="850" t="s">
        <v>916</v>
      </c>
      <c r="H6" s="850"/>
      <c r="I6" s="850"/>
    </row>
    <row r="7" spans="1:9" ht="24" customHeight="1" thickBot="1" x14ac:dyDescent="0.3">
      <c r="A7" s="221" t="s">
        <v>1</v>
      </c>
      <c r="B7" s="857" t="s">
        <v>419</v>
      </c>
      <c r="C7" s="857"/>
      <c r="D7" s="857"/>
      <c r="E7" s="857"/>
    </row>
    <row r="8" spans="1:9" ht="24" customHeight="1" thickBot="1" x14ac:dyDescent="0.3">
      <c r="A8" s="222" t="s">
        <v>0</v>
      </c>
      <c r="B8" s="857" t="s">
        <v>849</v>
      </c>
      <c r="C8" s="857"/>
      <c r="D8" s="857"/>
      <c r="E8" s="857"/>
    </row>
    <row r="9" spans="1:9" ht="41.25" customHeight="1" x14ac:dyDescent="0.25">
      <c r="A9" s="223" t="s">
        <v>2</v>
      </c>
      <c r="B9" s="854" t="s">
        <v>769</v>
      </c>
      <c r="C9" s="854"/>
      <c r="D9" s="854"/>
      <c r="E9" s="854"/>
    </row>
    <row r="10" spans="1:9" ht="31.5" customHeight="1" x14ac:dyDescent="0.25">
      <c r="A10" s="224" t="s">
        <v>31</v>
      </c>
      <c r="B10" s="854"/>
      <c r="C10" s="855"/>
      <c r="D10" s="855"/>
      <c r="E10" s="855"/>
    </row>
    <row r="11" spans="1:9" ht="30" customHeight="1" x14ac:dyDescent="0.25">
      <c r="A11" s="225" t="s">
        <v>16</v>
      </c>
      <c r="B11" s="858" t="s">
        <v>86</v>
      </c>
      <c r="C11" s="858"/>
      <c r="D11" s="858"/>
      <c r="E11" s="858"/>
    </row>
    <row r="12" spans="1:9" ht="30" customHeight="1" x14ac:dyDescent="0.25">
      <c r="A12" s="225" t="s">
        <v>3</v>
      </c>
      <c r="B12" s="858"/>
      <c r="C12" s="858"/>
      <c r="D12" s="858"/>
      <c r="E12" s="858"/>
    </row>
    <row r="13" spans="1:9" ht="30" customHeight="1" x14ac:dyDescent="0.25">
      <c r="A13" s="226" t="s">
        <v>17</v>
      </c>
      <c r="B13" s="858" t="s">
        <v>754</v>
      </c>
      <c r="C13" s="858"/>
      <c r="D13" s="858"/>
      <c r="E13" s="858"/>
    </row>
    <row r="14" spans="1:9" ht="30" customHeight="1" x14ac:dyDescent="0.25">
      <c r="A14" s="226" t="s">
        <v>4</v>
      </c>
      <c r="B14" s="858">
        <v>2016</v>
      </c>
      <c r="C14" s="858"/>
      <c r="D14" s="858"/>
      <c r="E14" s="858"/>
    </row>
    <row r="15" spans="1:9" ht="30" customHeight="1" x14ac:dyDescent="0.25">
      <c r="A15" s="226" t="s">
        <v>5</v>
      </c>
      <c r="B15" s="858">
        <v>2017</v>
      </c>
      <c r="C15" s="858"/>
      <c r="D15" s="858"/>
      <c r="E15" s="858"/>
    </row>
    <row r="16" spans="1:9" ht="30" customHeight="1" x14ac:dyDescent="0.25">
      <c r="A16" s="226" t="s">
        <v>6</v>
      </c>
      <c r="B16" s="859">
        <v>0</v>
      </c>
      <c r="C16" s="859"/>
      <c r="D16" s="859"/>
      <c r="E16" s="859"/>
    </row>
    <row r="17" spans="1:9" ht="30" customHeight="1" x14ac:dyDescent="0.25">
      <c r="A17" s="227" t="s">
        <v>7</v>
      </c>
      <c r="B17" s="845">
        <v>0</v>
      </c>
      <c r="C17" s="845"/>
      <c r="D17" s="845"/>
      <c r="E17" s="845"/>
    </row>
    <row r="18" spans="1:9" ht="30" customHeight="1" x14ac:dyDescent="0.25">
      <c r="A18" s="228" t="s">
        <v>468</v>
      </c>
      <c r="B18" s="868"/>
      <c r="C18" s="869"/>
      <c r="D18" s="869"/>
      <c r="E18" s="869"/>
    </row>
    <row r="19" spans="1:9" ht="30" customHeight="1" x14ac:dyDescent="0.25">
      <c r="A19" s="240" t="s">
        <v>467</v>
      </c>
      <c r="B19" s="870">
        <f>G16*0.85</f>
        <v>0</v>
      </c>
      <c r="C19" s="871"/>
      <c r="D19" s="871"/>
      <c r="E19" s="871"/>
    </row>
    <row r="20" spans="1:9" ht="30" customHeight="1" x14ac:dyDescent="0.25">
      <c r="A20" s="227" t="s">
        <v>8</v>
      </c>
      <c r="B20" s="845">
        <v>1</v>
      </c>
      <c r="C20" s="845"/>
      <c r="D20" s="845"/>
      <c r="E20" s="845"/>
    </row>
    <row r="21" spans="1:9" ht="30" customHeight="1" x14ac:dyDescent="0.25">
      <c r="A21" s="227" t="s">
        <v>9</v>
      </c>
      <c r="B21" s="845"/>
      <c r="C21" s="845"/>
      <c r="D21" s="845"/>
      <c r="E21" s="845"/>
    </row>
    <row r="22" spans="1:9" ht="30" customHeight="1" x14ac:dyDescent="0.25">
      <c r="A22" s="227" t="s">
        <v>465</v>
      </c>
      <c r="B22" s="846">
        <f>B16/(B20+B21)</f>
        <v>0</v>
      </c>
      <c r="C22" s="846"/>
      <c r="D22" s="846"/>
      <c r="E22" s="846"/>
    </row>
    <row r="23" spans="1:9" ht="30" customHeight="1" x14ac:dyDescent="0.25">
      <c r="A23" s="227" t="s">
        <v>466</v>
      </c>
      <c r="B23" s="847">
        <f>(B16-B17)/(B20+B21)</f>
        <v>0</v>
      </c>
      <c r="C23" s="847"/>
      <c r="D23" s="847"/>
      <c r="E23" s="847"/>
    </row>
    <row r="24" spans="1:9" ht="30" customHeight="1" x14ac:dyDescent="0.25">
      <c r="A24" s="229" t="s">
        <v>476</v>
      </c>
      <c r="B24" s="872">
        <f>B19*G24/1000</f>
        <v>0</v>
      </c>
      <c r="C24" s="872"/>
      <c r="D24" s="872"/>
      <c r="E24" s="872"/>
    </row>
    <row r="25" spans="1:9" ht="30" customHeight="1" x14ac:dyDescent="0.25">
      <c r="A25" s="230" t="s">
        <v>463</v>
      </c>
      <c r="B25" s="840">
        <f>B24/'Objectifs CO2'!C15</f>
        <v>0</v>
      </c>
      <c r="C25" s="840"/>
      <c r="D25" s="840"/>
      <c r="E25" s="840"/>
    </row>
    <row r="26" spans="1:9" ht="30" customHeight="1" x14ac:dyDescent="0.25">
      <c r="A26" s="213" t="s">
        <v>464</v>
      </c>
      <c r="B26" s="840">
        <f>B24/'Objectifs CO2'!C8</f>
        <v>0</v>
      </c>
      <c r="C26" s="840"/>
      <c r="D26" s="840"/>
      <c r="E26" s="840"/>
    </row>
    <row r="27" spans="1:9" ht="30" customHeight="1" x14ac:dyDescent="0.25">
      <c r="A27" s="213" t="s">
        <v>24</v>
      </c>
      <c r="B27" s="853"/>
      <c r="C27" s="853"/>
      <c r="D27" s="853"/>
      <c r="E27" s="853"/>
    </row>
    <row r="28" spans="1:9" ht="30" customHeight="1" x14ac:dyDescent="0.25">
      <c r="A28" s="231" t="s">
        <v>418</v>
      </c>
      <c r="B28" s="853" t="s">
        <v>422</v>
      </c>
      <c r="C28" s="853"/>
      <c r="D28" s="853"/>
      <c r="E28" s="853"/>
    </row>
    <row r="30" spans="1:9" x14ac:dyDescent="0.25">
      <c r="B30" s="867" t="s">
        <v>530</v>
      </c>
      <c r="C30" s="867"/>
      <c r="D30" s="867"/>
      <c r="E30" s="143" t="s">
        <v>538</v>
      </c>
      <c r="F30" s="37"/>
      <c r="G30" s="37"/>
      <c r="H30" s="37"/>
      <c r="I30" s="37"/>
    </row>
    <row r="31" spans="1:9" x14ac:dyDescent="0.25">
      <c r="B31" s="864" t="s">
        <v>521</v>
      </c>
      <c r="C31" s="864"/>
      <c r="D31" s="864"/>
      <c r="E31" s="114"/>
      <c r="F31" s="37"/>
      <c r="G31" s="866" t="s">
        <v>538</v>
      </c>
      <c r="H31" s="866"/>
      <c r="I31" s="866"/>
    </row>
    <row r="32" spans="1:9" x14ac:dyDescent="0.25">
      <c r="B32" s="864" t="s">
        <v>522</v>
      </c>
      <c r="C32" s="864"/>
      <c r="D32" s="864"/>
      <c r="E32" s="114"/>
      <c r="F32" s="37"/>
      <c r="G32" s="252">
        <v>3</v>
      </c>
      <c r="H32" s="866" t="s">
        <v>535</v>
      </c>
      <c r="I32" s="866"/>
    </row>
    <row r="33" spans="2:9" x14ac:dyDescent="0.25">
      <c r="B33" s="864" t="s">
        <v>524</v>
      </c>
      <c r="C33" s="864"/>
      <c r="D33" s="864"/>
      <c r="E33" s="114"/>
      <c r="F33" s="37"/>
      <c r="G33" s="252">
        <v>2</v>
      </c>
      <c r="H33" s="866" t="s">
        <v>536</v>
      </c>
      <c r="I33" s="866"/>
    </row>
    <row r="34" spans="2:9" x14ac:dyDescent="0.25">
      <c r="B34" s="864" t="s">
        <v>523</v>
      </c>
      <c r="C34" s="864"/>
      <c r="D34" s="864"/>
      <c r="E34" s="114"/>
      <c r="F34" s="37"/>
      <c r="G34" s="252">
        <v>1</v>
      </c>
      <c r="H34" s="866" t="s">
        <v>537</v>
      </c>
      <c r="I34" s="866"/>
    </row>
    <row r="35" spans="2:9" x14ac:dyDescent="0.25">
      <c r="B35" s="864" t="s">
        <v>525</v>
      </c>
      <c r="C35" s="864"/>
      <c r="D35" s="864"/>
      <c r="E35" s="114"/>
      <c r="F35" s="37"/>
      <c r="G35" s="37"/>
      <c r="H35" s="37"/>
      <c r="I35" s="37"/>
    </row>
    <row r="36" spans="2:9" x14ac:dyDescent="0.25">
      <c r="B36" s="864" t="s">
        <v>526</v>
      </c>
      <c r="C36" s="864"/>
      <c r="D36" s="864"/>
      <c r="E36" s="114"/>
      <c r="F36" s="37"/>
      <c r="G36" s="37"/>
      <c r="H36" s="37"/>
      <c r="I36" s="37"/>
    </row>
    <row r="37" spans="2:9" x14ac:dyDescent="0.25">
      <c r="B37" s="864" t="s">
        <v>527</v>
      </c>
      <c r="C37" s="864"/>
      <c r="D37" s="864"/>
      <c r="E37" s="114"/>
      <c r="F37" s="37"/>
      <c r="G37" s="37"/>
      <c r="H37" s="37"/>
      <c r="I37" s="37"/>
    </row>
    <row r="38" spans="2:9" x14ac:dyDescent="0.25">
      <c r="B38" s="864" t="s">
        <v>528</v>
      </c>
      <c r="C38" s="864"/>
      <c r="D38" s="864"/>
      <c r="E38" s="114"/>
      <c r="F38" s="37"/>
      <c r="G38" s="37"/>
      <c r="H38" s="37"/>
      <c r="I38" s="37"/>
    </row>
    <row r="39" spans="2:9" x14ac:dyDescent="0.25">
      <c r="B39" s="864" t="s">
        <v>529</v>
      </c>
      <c r="C39" s="864"/>
      <c r="D39" s="864"/>
      <c r="E39" s="114"/>
      <c r="F39" s="37"/>
      <c r="G39" s="863" t="s">
        <v>541</v>
      </c>
      <c r="H39" s="863"/>
      <c r="I39" s="863"/>
    </row>
    <row r="40" spans="2:9" x14ac:dyDescent="0.25">
      <c r="B40" s="865" t="s">
        <v>395</v>
      </c>
      <c r="C40" s="865"/>
      <c r="D40" s="865"/>
      <c r="E40" s="258">
        <f>SUM(E31:E39)</f>
        <v>0</v>
      </c>
      <c r="F40" s="37"/>
      <c r="G40" s="254" t="s">
        <v>542</v>
      </c>
      <c r="H40" s="257" t="s">
        <v>543</v>
      </c>
      <c r="I40" s="254" t="s">
        <v>544</v>
      </c>
    </row>
    <row r="41" spans="2:9" x14ac:dyDescent="0.25">
      <c r="B41" s="37"/>
      <c r="C41" s="37"/>
      <c r="D41" s="37"/>
      <c r="E41" s="202" t="s">
        <v>576</v>
      </c>
      <c r="F41" s="37"/>
      <c r="G41" s="254" t="s">
        <v>545</v>
      </c>
      <c r="H41" s="254" t="s">
        <v>547</v>
      </c>
      <c r="I41" s="254" t="s">
        <v>546</v>
      </c>
    </row>
    <row r="42" spans="2:9" x14ac:dyDescent="0.25">
      <c r="B42" s="37"/>
      <c r="C42" s="37"/>
      <c r="D42" s="37"/>
      <c r="E42" s="37"/>
      <c r="F42" s="37"/>
      <c r="G42" s="37"/>
      <c r="H42" s="37"/>
      <c r="I42" s="37"/>
    </row>
    <row r="43" spans="2:9" x14ac:dyDescent="0.25">
      <c r="B43" s="860" t="s">
        <v>520</v>
      </c>
      <c r="C43" s="861"/>
      <c r="D43" s="862"/>
      <c r="E43" s="251">
        <v>1</v>
      </c>
      <c r="F43" s="37"/>
      <c r="G43" s="254">
        <v>1</v>
      </c>
      <c r="H43" s="254" t="s">
        <v>539</v>
      </c>
      <c r="I43" s="37"/>
    </row>
    <row r="44" spans="2:9" x14ac:dyDescent="0.25">
      <c r="B44" s="37"/>
      <c r="C44" s="37"/>
      <c r="D44" s="37"/>
      <c r="E44" s="37"/>
      <c r="F44" s="37"/>
      <c r="G44" s="254">
        <v>0</v>
      </c>
      <c r="H44" s="254" t="s">
        <v>540</v>
      </c>
      <c r="I44" s="37"/>
    </row>
  </sheetData>
  <mergeCells count="45">
    <mergeCell ref="A2:E2"/>
    <mergeCell ref="C5:D5"/>
    <mergeCell ref="B7:E7"/>
    <mergeCell ref="B8:E8"/>
    <mergeCell ref="G31:I31"/>
    <mergeCell ref="G6:I6"/>
    <mergeCell ref="B26:E26"/>
    <mergeCell ref="B10:E10"/>
    <mergeCell ref="B11:E11"/>
    <mergeCell ref="B12:E12"/>
    <mergeCell ref="B13:E13"/>
    <mergeCell ref="B14:E14"/>
    <mergeCell ref="B9:E9"/>
    <mergeCell ref="C4:D4"/>
    <mergeCell ref="B32:D32"/>
    <mergeCell ref="H32:I32"/>
    <mergeCell ref="B15:E15"/>
    <mergeCell ref="B16:E16"/>
    <mergeCell ref="B17:E17"/>
    <mergeCell ref="B18:E18"/>
    <mergeCell ref="B19:E19"/>
    <mergeCell ref="B20:E20"/>
    <mergeCell ref="B21:E21"/>
    <mergeCell ref="B27:E27"/>
    <mergeCell ref="B28:E28"/>
    <mergeCell ref="B22:E22"/>
    <mergeCell ref="B23:E23"/>
    <mergeCell ref="B24:E24"/>
    <mergeCell ref="B25:E25"/>
    <mergeCell ref="B43:D43"/>
    <mergeCell ref="G4:I4"/>
    <mergeCell ref="G5:I5"/>
    <mergeCell ref="G39:I39"/>
    <mergeCell ref="B36:D36"/>
    <mergeCell ref="B37:D37"/>
    <mergeCell ref="B38:D38"/>
    <mergeCell ref="B39:D39"/>
    <mergeCell ref="B40:D40"/>
    <mergeCell ref="B33:D33"/>
    <mergeCell ref="H33:I33"/>
    <mergeCell ref="B34:D34"/>
    <mergeCell ref="H34:I34"/>
    <mergeCell ref="B35:D35"/>
    <mergeCell ref="B30:D30"/>
    <mergeCell ref="B31:D31"/>
  </mergeCells>
  <conditionalFormatting sqref="E5">
    <cfRule type="containsText" dxfId="257" priority="1" operator="containsText" text="Terminé">
      <formula>NOT(ISERROR(SEARCH("Terminé",E5)))</formula>
    </cfRule>
    <cfRule type="containsText" dxfId="256" priority="2" operator="containsText" text="En cours">
      <formula>NOT(ISERROR(SEARCH("En cours",E5)))</formula>
    </cfRule>
    <cfRule type="containsText" dxfId="255" priority="3" operator="containsText" text="A faire">
      <formula>NOT(ISERROR(SEARCH("A faire",E5)))</formula>
    </cfRule>
  </conditionalFormatting>
  <hyperlinks>
    <hyperlink ref="G4:I4" location="'Objectifs CO2'!A1" display="Lien vers Objectifs CO2"/>
    <hyperlink ref="G5:I5" location="'Synthèse CO2'!A1" display="Lien synthèse CO2"/>
    <hyperlink ref="E41" location="'RESUME CRITERES'!A1" display="lien vers Résumé Critères"/>
    <hyperlink ref="G6" location="CALENDRIER!A1" display="Lien vers CALENDRIER"/>
  </hyperlinks>
  <pageMargins left="0.7" right="0.7" top="0.75" bottom="0.75" header="0.3" footer="0.3"/>
  <pageSetup paperSize="9" scale="8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8"/>
  <sheetViews>
    <sheetView zoomScaleNormal="100" zoomScaleSheetLayoutView="100" workbookViewId="0">
      <selection activeCell="G4" sqref="G4:I4"/>
    </sheetView>
  </sheetViews>
  <sheetFormatPr baseColWidth="10" defaultColWidth="11.42578125" defaultRowHeight="15" x14ac:dyDescent="0.25"/>
  <cols>
    <col min="1" max="1" width="40.7109375" style="37" customWidth="1"/>
    <col min="2" max="2" width="16.7109375" style="37" customWidth="1"/>
    <col min="3" max="3" width="18.7109375" style="37" customWidth="1"/>
    <col min="4" max="4" width="5.7109375" style="37" customWidth="1"/>
    <col min="5" max="5" width="18.7109375" style="37" customWidth="1"/>
    <col min="6" max="6" width="1.5703125" style="37" customWidth="1"/>
    <col min="7" max="16384" width="11.42578125" style="37"/>
  </cols>
  <sheetData>
    <row r="1" spans="1:15" ht="21" x14ac:dyDescent="0.35">
      <c r="A1" s="11" t="s">
        <v>87</v>
      </c>
      <c r="B1" s="11"/>
      <c r="C1" s="11"/>
      <c r="D1" s="11"/>
      <c r="E1" s="11"/>
    </row>
    <row r="2" spans="1:15" ht="26.25" x14ac:dyDescent="0.4">
      <c r="A2" s="856" t="s">
        <v>913</v>
      </c>
      <c r="B2" s="856"/>
      <c r="C2" s="856"/>
      <c r="D2" s="856"/>
      <c r="E2" s="856"/>
    </row>
    <row r="3" spans="1:15" ht="27" thickBot="1" x14ac:dyDescent="0.45">
      <c r="A3" s="358"/>
      <c r="B3" s="358"/>
      <c r="C3" s="358"/>
      <c r="D3" s="358"/>
      <c r="E3" s="358"/>
    </row>
    <row r="4" spans="1:15" ht="15.75" thickBot="1" x14ac:dyDescent="0.3">
      <c r="A4" s="12"/>
      <c r="B4" s="233" t="s">
        <v>469</v>
      </c>
      <c r="C4" s="851" t="s">
        <v>61</v>
      </c>
      <c r="D4" s="852"/>
      <c r="E4" s="175" t="s">
        <v>477</v>
      </c>
      <c r="G4" s="827" t="s">
        <v>914</v>
      </c>
      <c r="H4" s="827"/>
    </row>
    <row r="5" spans="1:15" ht="15.75" x14ac:dyDescent="0.25">
      <c r="A5" s="381" t="s">
        <v>651</v>
      </c>
      <c r="B5" s="382" t="s">
        <v>657</v>
      </c>
      <c r="C5" s="820" t="s">
        <v>18</v>
      </c>
      <c r="D5" s="820"/>
      <c r="E5" s="232" t="s">
        <v>19</v>
      </c>
      <c r="G5" s="827" t="s">
        <v>915</v>
      </c>
      <c r="H5" s="827"/>
    </row>
    <row r="6" spans="1:15" ht="15.75" x14ac:dyDescent="0.25">
      <c r="A6" s="379" t="s">
        <v>660</v>
      </c>
      <c r="B6" s="380" t="s">
        <v>398</v>
      </c>
      <c r="G6" s="827" t="s">
        <v>916</v>
      </c>
      <c r="H6" s="827"/>
    </row>
    <row r="7" spans="1:15" x14ac:dyDescent="0.25">
      <c r="A7" s="227" t="s">
        <v>1</v>
      </c>
      <c r="B7" s="820" t="s">
        <v>714</v>
      </c>
      <c r="C7" s="820"/>
      <c r="D7" s="820"/>
      <c r="E7" s="820"/>
    </row>
    <row r="8" spans="1:15" x14ac:dyDescent="0.25">
      <c r="A8" s="227" t="s">
        <v>0</v>
      </c>
      <c r="B8" s="820" t="s">
        <v>781</v>
      </c>
      <c r="C8" s="820"/>
      <c r="D8" s="820"/>
      <c r="E8" s="820"/>
    </row>
    <row r="9" spans="1:15" ht="177.75" customHeight="1" x14ac:dyDescent="0.25">
      <c r="A9" s="227" t="s">
        <v>2</v>
      </c>
      <c r="B9" s="890" t="s">
        <v>737</v>
      </c>
      <c r="C9" s="889"/>
      <c r="D9" s="889"/>
      <c r="E9" s="889"/>
      <c r="G9" s="116" t="s">
        <v>231</v>
      </c>
      <c r="H9" s="116" t="s">
        <v>232</v>
      </c>
      <c r="I9" s="116" t="s">
        <v>233</v>
      </c>
      <c r="J9" s="116" t="s">
        <v>234</v>
      </c>
      <c r="K9" s="116" t="s">
        <v>235</v>
      </c>
      <c r="L9" s="117" t="s">
        <v>236</v>
      </c>
      <c r="M9" s="117" t="s">
        <v>237</v>
      </c>
      <c r="N9" s="116" t="s">
        <v>238</v>
      </c>
      <c r="O9" s="117" t="s">
        <v>227</v>
      </c>
    </row>
    <row r="10" spans="1:15" ht="15.75" x14ac:dyDescent="0.25">
      <c r="A10" s="227" t="s">
        <v>31</v>
      </c>
      <c r="B10" s="889"/>
      <c r="C10" s="889"/>
      <c r="D10" s="889"/>
      <c r="E10" s="889"/>
      <c r="G10" s="364">
        <v>6</v>
      </c>
      <c r="H10" s="364">
        <v>2970</v>
      </c>
      <c r="I10" s="364">
        <v>0.02</v>
      </c>
      <c r="J10" s="364">
        <v>0.2</v>
      </c>
      <c r="K10" s="364">
        <v>65</v>
      </c>
      <c r="L10" s="365">
        <v>365</v>
      </c>
      <c r="M10" s="365">
        <v>24</v>
      </c>
      <c r="N10" s="364">
        <v>1500000</v>
      </c>
      <c r="O10" s="365">
        <v>0.36499999999999999</v>
      </c>
    </row>
    <row r="11" spans="1:15" x14ac:dyDescent="0.25">
      <c r="A11" s="227" t="s">
        <v>16</v>
      </c>
      <c r="B11" s="874" t="s">
        <v>61</v>
      </c>
      <c r="C11" s="874"/>
      <c r="D11" s="874"/>
      <c r="E11" s="874"/>
    </row>
    <row r="12" spans="1:15" x14ac:dyDescent="0.25">
      <c r="A12" s="227" t="s">
        <v>3</v>
      </c>
      <c r="B12" s="874"/>
      <c r="C12" s="874"/>
      <c r="D12" s="874"/>
      <c r="E12" s="874"/>
    </row>
    <row r="13" spans="1:15" ht="30" customHeight="1" x14ac:dyDescent="0.25">
      <c r="A13" s="227" t="s">
        <v>17</v>
      </c>
      <c r="B13" s="874"/>
      <c r="C13" s="874"/>
      <c r="D13" s="874"/>
      <c r="E13" s="874"/>
      <c r="G13" s="117"/>
      <c r="H13" s="117"/>
      <c r="I13" s="117"/>
      <c r="J13" s="117"/>
      <c r="K13" s="117"/>
      <c r="L13" s="117"/>
      <c r="M13" s="117"/>
      <c r="N13" s="367"/>
    </row>
    <row r="14" spans="1:15" x14ac:dyDescent="0.25">
      <c r="A14" s="227" t="s">
        <v>4</v>
      </c>
      <c r="B14" s="874">
        <v>2018</v>
      </c>
      <c r="C14" s="874"/>
      <c r="D14" s="874"/>
      <c r="E14" s="874"/>
      <c r="G14" s="135"/>
      <c r="H14" s="360"/>
      <c r="I14" s="360"/>
      <c r="J14" s="360"/>
      <c r="K14" s="142"/>
      <c r="L14" s="360"/>
      <c r="M14" s="360"/>
      <c r="N14" s="368"/>
    </row>
    <row r="15" spans="1:15" x14ac:dyDescent="0.25">
      <c r="A15" s="227" t="s">
        <v>5</v>
      </c>
      <c r="B15" s="874">
        <v>2020</v>
      </c>
      <c r="C15" s="874"/>
      <c r="D15" s="874"/>
      <c r="E15" s="874"/>
    </row>
    <row r="16" spans="1:15" x14ac:dyDescent="0.25">
      <c r="A16" s="227" t="s">
        <v>6</v>
      </c>
      <c r="B16" s="845">
        <v>3000000</v>
      </c>
      <c r="C16" s="845"/>
      <c r="D16" s="845"/>
      <c r="E16" s="845"/>
    </row>
    <row r="17" spans="1:8" x14ac:dyDescent="0.25">
      <c r="A17" s="227" t="s">
        <v>7</v>
      </c>
      <c r="B17" s="845">
        <f>B16*0.2</f>
        <v>600000</v>
      </c>
      <c r="C17" s="845"/>
      <c r="D17" s="845"/>
      <c r="E17" s="845"/>
      <c r="G17" s="362"/>
      <c r="H17" s="317"/>
    </row>
    <row r="18" spans="1:8" ht="23.25" x14ac:dyDescent="0.25">
      <c r="A18" s="318" t="s">
        <v>468</v>
      </c>
      <c r="B18" s="981">
        <v>0</v>
      </c>
      <c r="C18" s="982"/>
      <c r="D18" s="982"/>
      <c r="E18" s="982"/>
      <c r="G18" s="2"/>
    </row>
    <row r="19" spans="1:8" ht="23.25" x14ac:dyDescent="0.25">
      <c r="A19" s="319" t="s">
        <v>467</v>
      </c>
      <c r="B19" s="983">
        <f>G10*H10*I10*L10*M10</f>
        <v>3122064.0000000005</v>
      </c>
      <c r="C19" s="984"/>
      <c r="D19" s="984"/>
      <c r="E19" s="984"/>
      <c r="F19" s="2"/>
      <c r="G19" s="2"/>
    </row>
    <row r="20" spans="1:8" x14ac:dyDescent="0.25">
      <c r="A20" s="227" t="s">
        <v>8</v>
      </c>
      <c r="B20" s="931">
        <f>B19*J10</f>
        <v>624412.80000000016</v>
      </c>
      <c r="C20" s="931"/>
      <c r="D20" s="931"/>
      <c r="E20" s="931"/>
    </row>
    <row r="21" spans="1:8" x14ac:dyDescent="0.25">
      <c r="A21" s="227" t="s">
        <v>9</v>
      </c>
      <c r="B21" s="845"/>
      <c r="C21" s="845"/>
      <c r="D21" s="845"/>
      <c r="E21" s="845"/>
    </row>
    <row r="22" spans="1:8" x14ac:dyDescent="0.25">
      <c r="A22" s="227" t="s">
        <v>465</v>
      </c>
      <c r="B22" s="846">
        <f>(B16-K10*G10)/(B20+B21)</f>
        <v>4.8038893501222253</v>
      </c>
      <c r="C22" s="846"/>
      <c r="D22" s="846"/>
      <c r="E22" s="846"/>
    </row>
    <row r="23" spans="1:8" x14ac:dyDescent="0.25">
      <c r="A23" s="227" t="s">
        <v>466</v>
      </c>
      <c r="B23" s="925">
        <f>(B16-B17-K10*G10)/(B20+B21)</f>
        <v>3.8429865627354203</v>
      </c>
      <c r="C23" s="925"/>
      <c r="D23" s="925"/>
      <c r="E23" s="925"/>
    </row>
    <row r="24" spans="1:8" ht="23.25" x14ac:dyDescent="0.25">
      <c r="A24" s="229" t="s">
        <v>476</v>
      </c>
      <c r="B24" s="997">
        <f>B19/1000*O10</f>
        <v>1139.5533600000001</v>
      </c>
      <c r="C24" s="997"/>
      <c r="D24" s="997"/>
      <c r="E24" s="997"/>
    </row>
    <row r="25" spans="1:8" x14ac:dyDescent="0.25">
      <c r="A25" s="213" t="s">
        <v>463</v>
      </c>
      <c r="B25" s="986">
        <f>B24/'Objectifs CO2'!C11</f>
        <v>1.651293401794135</v>
      </c>
      <c r="C25" s="986"/>
      <c r="D25" s="986"/>
      <c r="E25" s="986"/>
    </row>
    <row r="26" spans="1:8" x14ac:dyDescent="0.25">
      <c r="A26" s="213" t="s">
        <v>464</v>
      </c>
      <c r="B26" s="986">
        <f>B24/'Objectifs CO2'!$C$8</f>
        <v>0.1651293401794135</v>
      </c>
      <c r="C26" s="986"/>
      <c r="D26" s="986"/>
      <c r="E26" s="986"/>
    </row>
    <row r="27" spans="1:8" x14ac:dyDescent="0.25">
      <c r="A27" s="213" t="s">
        <v>24</v>
      </c>
      <c r="B27" s="987"/>
      <c r="C27" s="987"/>
      <c r="D27" s="987"/>
      <c r="E27" s="987"/>
    </row>
    <row r="28" spans="1:8" x14ac:dyDescent="0.25">
      <c r="A28" s="213" t="s">
        <v>418</v>
      </c>
      <c r="B28" s="853"/>
      <c r="C28" s="853"/>
      <c r="D28" s="853"/>
      <c r="E28" s="853"/>
    </row>
  </sheetData>
  <mergeCells count="28">
    <mergeCell ref="B26:E26"/>
    <mergeCell ref="B27:E27"/>
    <mergeCell ref="B28:E28"/>
    <mergeCell ref="B20:E20"/>
    <mergeCell ref="B21:E21"/>
    <mergeCell ref="B22:E22"/>
    <mergeCell ref="B23:E23"/>
    <mergeCell ref="B24:E24"/>
    <mergeCell ref="B25:E25"/>
    <mergeCell ref="B19:E19"/>
    <mergeCell ref="B8:E8"/>
    <mergeCell ref="B9:E9"/>
    <mergeCell ref="B10:E10"/>
    <mergeCell ref="B11:E11"/>
    <mergeCell ref="B12:E12"/>
    <mergeCell ref="B13:E13"/>
    <mergeCell ref="B14:E14"/>
    <mergeCell ref="B15:E15"/>
    <mergeCell ref="B16:E16"/>
    <mergeCell ref="B17:E17"/>
    <mergeCell ref="B18:E18"/>
    <mergeCell ref="B7:E7"/>
    <mergeCell ref="A2:E2"/>
    <mergeCell ref="G4:H4"/>
    <mergeCell ref="C5:D5"/>
    <mergeCell ref="G5:H5"/>
    <mergeCell ref="G6:H6"/>
    <mergeCell ref="C4:D4"/>
  </mergeCells>
  <conditionalFormatting sqref="E5">
    <cfRule type="containsText" dxfId="14" priority="1" operator="containsText" text="Terminé">
      <formula>NOT(ISERROR(SEARCH("Terminé",E5)))</formula>
    </cfRule>
    <cfRule type="containsText" dxfId="13" priority="2" operator="containsText" text="En cours">
      <formula>NOT(ISERROR(SEARCH("En cours",E5)))</formula>
    </cfRule>
    <cfRule type="containsText" dxfId="12" priority="3" operator="containsText" text="A faire">
      <formula>NOT(ISERROR(SEARCH("A faire",E5)))</formula>
    </cfRule>
  </conditionalFormatting>
  <hyperlinks>
    <hyperlink ref="G5" location="'Synthèse CO2'!A1" display="Lien vers Synthèse CO2"/>
    <hyperlink ref="G4" location="'Objectifs CO2'!A1" display="lien vers Objectifs CO2"/>
    <hyperlink ref="G6:H6" location="CALENDRIER!A1" display="Lien vers CALENDRIER"/>
  </hyperlinks>
  <pageMargins left="0.7" right="0.7" top="0.75" bottom="0.75" header="0.3" footer="0.3"/>
  <pageSetup paperSize="9" scale="86" orientation="portrait" r:id="rId1"/>
  <colBreaks count="1" manualBreakCount="1">
    <brk id="5"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8"/>
  <sheetViews>
    <sheetView topLeftCell="A4" zoomScaleNormal="100" zoomScaleSheetLayoutView="220"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9" ht="21" x14ac:dyDescent="0.35">
      <c r="A1" s="11" t="s">
        <v>87</v>
      </c>
      <c r="B1" s="11"/>
      <c r="C1" s="11"/>
      <c r="D1" s="11"/>
      <c r="E1" s="11"/>
    </row>
    <row r="2" spans="1:9" ht="26.25" x14ac:dyDescent="0.4">
      <c r="A2" s="856" t="s">
        <v>913</v>
      </c>
      <c r="B2" s="856"/>
      <c r="C2" s="856"/>
      <c r="D2" s="856"/>
      <c r="E2" s="856"/>
    </row>
    <row r="3" spans="1:9" ht="27" thickBot="1" x14ac:dyDescent="0.45">
      <c r="A3" s="107"/>
      <c r="B3" s="107"/>
      <c r="C3" s="107"/>
      <c r="D3" s="107"/>
      <c r="E3" s="107"/>
    </row>
    <row r="4" spans="1:9" ht="15.75" thickBot="1" x14ac:dyDescent="0.3">
      <c r="A4" s="12"/>
      <c r="B4" s="233" t="s">
        <v>469</v>
      </c>
      <c r="C4" s="851" t="s">
        <v>35</v>
      </c>
      <c r="D4" s="852"/>
      <c r="E4" s="175" t="s">
        <v>601</v>
      </c>
      <c r="G4" s="848" t="s">
        <v>914</v>
      </c>
      <c r="H4" s="848"/>
      <c r="I4" s="848"/>
    </row>
    <row r="5" spans="1:9" ht="18.75" customHeight="1" x14ac:dyDescent="0.25">
      <c r="A5" s="381" t="s">
        <v>651</v>
      </c>
      <c r="B5" s="382" t="s">
        <v>652</v>
      </c>
      <c r="C5" s="820" t="s">
        <v>18</v>
      </c>
      <c r="D5" s="820"/>
      <c r="E5" s="232" t="s">
        <v>21</v>
      </c>
      <c r="G5" s="848" t="s">
        <v>915</v>
      </c>
      <c r="H5" s="848"/>
      <c r="I5" s="848"/>
    </row>
    <row r="6" spans="1:9" ht="16.5" thickBot="1" x14ac:dyDescent="0.3">
      <c r="A6" s="379" t="s">
        <v>660</v>
      </c>
      <c r="B6" s="380" t="s">
        <v>28</v>
      </c>
      <c r="C6" s="16"/>
      <c r="D6" s="16"/>
      <c r="E6" s="16"/>
      <c r="G6" s="850" t="s">
        <v>916</v>
      </c>
      <c r="H6" s="850"/>
      <c r="I6" s="850"/>
    </row>
    <row r="7" spans="1:9" ht="24" customHeight="1" thickBot="1" x14ac:dyDescent="0.3">
      <c r="A7" s="207" t="s">
        <v>1</v>
      </c>
      <c r="B7" s="820" t="s">
        <v>787</v>
      </c>
      <c r="C7" s="820"/>
      <c r="D7" s="820"/>
      <c r="E7" s="820"/>
    </row>
    <row r="8" spans="1:9" ht="24" customHeight="1" thickBot="1" x14ac:dyDescent="0.3">
      <c r="A8" s="207" t="s">
        <v>0</v>
      </c>
      <c r="B8" s="820" t="s">
        <v>788</v>
      </c>
      <c r="C8" s="820"/>
      <c r="D8" s="820"/>
      <c r="E8" s="820"/>
    </row>
    <row r="9" spans="1:9" ht="123" customHeight="1" x14ac:dyDescent="0.25">
      <c r="A9" s="208" t="s">
        <v>2</v>
      </c>
      <c r="B9" s="890" t="s">
        <v>89</v>
      </c>
      <c r="C9" s="890"/>
      <c r="D9" s="890"/>
      <c r="E9" s="890"/>
      <c r="G9" s="259" t="s">
        <v>559</v>
      </c>
      <c r="H9" s="259" t="s">
        <v>235</v>
      </c>
      <c r="I9" s="259" t="s">
        <v>272</v>
      </c>
    </row>
    <row r="10" spans="1:9" ht="54" customHeight="1" x14ac:dyDescent="0.25">
      <c r="A10" s="208" t="s">
        <v>31</v>
      </c>
      <c r="B10" s="889"/>
      <c r="C10" s="889"/>
      <c r="D10" s="889"/>
      <c r="E10" s="889"/>
      <c r="G10" s="259">
        <v>0.04</v>
      </c>
      <c r="H10" s="259">
        <v>65</v>
      </c>
      <c r="I10" s="259">
        <v>0.36499999999999999</v>
      </c>
    </row>
    <row r="11" spans="1:9" ht="30" customHeight="1" x14ac:dyDescent="0.25">
      <c r="A11" s="209" t="s">
        <v>16</v>
      </c>
      <c r="B11" s="874" t="s">
        <v>512</v>
      </c>
      <c r="C11" s="874"/>
      <c r="D11" s="874"/>
      <c r="E11" s="874"/>
    </row>
    <row r="12" spans="1:9" ht="30" customHeight="1" x14ac:dyDescent="0.25">
      <c r="A12" s="209" t="s">
        <v>3</v>
      </c>
      <c r="B12" s="874"/>
      <c r="C12" s="874"/>
      <c r="D12" s="874"/>
      <c r="E12" s="874"/>
    </row>
    <row r="13" spans="1:9" ht="30" customHeight="1" x14ac:dyDescent="0.25">
      <c r="A13" s="209" t="s">
        <v>17</v>
      </c>
      <c r="B13" s="874" t="s">
        <v>88</v>
      </c>
      <c r="C13" s="874"/>
      <c r="D13" s="874"/>
      <c r="E13" s="874"/>
    </row>
    <row r="14" spans="1:9" ht="30" customHeight="1" x14ac:dyDescent="0.25">
      <c r="A14" s="209" t="s">
        <v>4</v>
      </c>
      <c r="B14" s="874">
        <v>2009</v>
      </c>
      <c r="C14" s="874"/>
      <c r="D14" s="874"/>
      <c r="E14" s="874"/>
    </row>
    <row r="15" spans="1:9" ht="30" customHeight="1" x14ac:dyDescent="0.25">
      <c r="A15" s="209" t="s">
        <v>5</v>
      </c>
      <c r="B15" s="874">
        <v>2009</v>
      </c>
      <c r="C15" s="874"/>
      <c r="D15" s="874"/>
      <c r="E15" s="874"/>
    </row>
    <row r="16" spans="1:9" ht="30" customHeight="1" x14ac:dyDescent="0.25">
      <c r="A16" s="209" t="s">
        <v>6</v>
      </c>
      <c r="B16" s="845">
        <v>120000</v>
      </c>
      <c r="C16" s="845"/>
      <c r="D16" s="845"/>
      <c r="E16" s="845"/>
    </row>
    <row r="17" spans="1:8" ht="30" customHeight="1" x14ac:dyDescent="0.25">
      <c r="A17" s="209" t="s">
        <v>7</v>
      </c>
      <c r="B17" s="845">
        <f>B16*0.35</f>
        <v>42000</v>
      </c>
      <c r="C17" s="845"/>
      <c r="D17" s="845"/>
      <c r="E17" s="845"/>
    </row>
    <row r="18" spans="1:8" ht="30" customHeight="1" x14ac:dyDescent="0.25">
      <c r="A18" s="210" t="s">
        <v>468</v>
      </c>
      <c r="B18" s="868"/>
      <c r="C18" s="869"/>
      <c r="D18" s="869"/>
      <c r="E18" s="869"/>
      <c r="G18" s="2"/>
      <c r="H18" s="2"/>
    </row>
    <row r="19" spans="1:8" ht="30" customHeight="1" x14ac:dyDescent="0.25">
      <c r="A19" s="238" t="s">
        <v>467</v>
      </c>
      <c r="B19" s="870">
        <v>145000</v>
      </c>
      <c r="C19" s="871"/>
      <c r="D19" s="871"/>
      <c r="E19" s="871"/>
      <c r="G19" s="2"/>
      <c r="H19" s="2"/>
    </row>
    <row r="20" spans="1:8" ht="30" customHeight="1" x14ac:dyDescent="0.25">
      <c r="A20" s="209" t="s">
        <v>8</v>
      </c>
      <c r="B20" s="845">
        <f>B19*G10</f>
        <v>5800</v>
      </c>
      <c r="C20" s="845"/>
      <c r="D20" s="845"/>
      <c r="E20" s="845"/>
      <c r="F20" s="83"/>
    </row>
    <row r="21" spans="1:8" ht="30" customHeight="1" x14ac:dyDescent="0.25">
      <c r="A21" s="209" t="s">
        <v>9</v>
      </c>
      <c r="B21" s="845">
        <f>B19/1000*H10</f>
        <v>9425</v>
      </c>
      <c r="C21" s="845"/>
      <c r="D21" s="845"/>
      <c r="E21" s="845"/>
      <c r="F21" s="94"/>
    </row>
    <row r="22" spans="1:8" ht="30" customHeight="1" x14ac:dyDescent="0.25">
      <c r="A22" s="209" t="s">
        <v>465</v>
      </c>
      <c r="B22" s="846">
        <f>B16/(B20+B21)</f>
        <v>7.8817733990147785</v>
      </c>
      <c r="C22" s="846"/>
      <c r="D22" s="846"/>
      <c r="E22" s="846"/>
      <c r="F22" s="95"/>
    </row>
    <row r="23" spans="1:8" ht="30" customHeight="1" x14ac:dyDescent="0.25">
      <c r="A23" s="209" t="s">
        <v>466</v>
      </c>
      <c r="B23" s="847">
        <f>(B16-B17)/(B20+B21)</f>
        <v>5.1231527093596059</v>
      </c>
      <c r="C23" s="847"/>
      <c r="D23" s="847"/>
      <c r="E23" s="847"/>
      <c r="F23" s="95"/>
    </row>
    <row r="24" spans="1:8" ht="30" customHeight="1" x14ac:dyDescent="0.25">
      <c r="A24" s="211" t="s">
        <v>476</v>
      </c>
      <c r="B24" s="901">
        <f>B19/1000*I10</f>
        <v>52.924999999999997</v>
      </c>
      <c r="C24" s="901"/>
      <c r="D24" s="901"/>
      <c r="E24" s="901"/>
      <c r="F24" s="96"/>
    </row>
    <row r="25" spans="1:8" ht="30" customHeight="1" x14ac:dyDescent="0.25">
      <c r="A25" s="212" t="s">
        <v>463</v>
      </c>
      <c r="B25" s="881">
        <f>B24/'Objectifs CO2'!C12</f>
        <v>1.5338413514915104E-2</v>
      </c>
      <c r="C25" s="881"/>
      <c r="D25" s="881"/>
      <c r="E25" s="881"/>
      <c r="F25" s="97"/>
    </row>
    <row r="26" spans="1:8" ht="30" customHeight="1" x14ac:dyDescent="0.25">
      <c r="A26" s="213" t="s">
        <v>464</v>
      </c>
      <c r="B26" s="881">
        <f>B24/'Objectifs CO2'!C8</f>
        <v>7.669206757457552E-3</v>
      </c>
      <c r="C26" s="881"/>
      <c r="D26" s="881"/>
      <c r="E26" s="881"/>
      <c r="F26" s="98"/>
    </row>
    <row r="27" spans="1:8" ht="30" customHeight="1" x14ac:dyDescent="0.25">
      <c r="A27" s="213" t="s">
        <v>24</v>
      </c>
      <c r="B27" s="853" t="s">
        <v>10</v>
      </c>
      <c r="C27" s="853"/>
      <c r="D27" s="853"/>
      <c r="E27" s="853"/>
      <c r="F27" s="84"/>
    </row>
    <row r="28" spans="1:8" ht="30" customHeight="1" x14ac:dyDescent="0.25">
      <c r="A28" s="213" t="s">
        <v>418</v>
      </c>
      <c r="B28" s="853"/>
      <c r="C28" s="853"/>
      <c r="D28" s="853"/>
      <c r="E28" s="853"/>
    </row>
  </sheetData>
  <mergeCells count="28">
    <mergeCell ref="B28:E28"/>
    <mergeCell ref="B27:E27"/>
    <mergeCell ref="B9:E9"/>
    <mergeCell ref="A2:E2"/>
    <mergeCell ref="C5:D5"/>
    <mergeCell ref="B7:E7"/>
    <mergeCell ref="B8:E8"/>
    <mergeCell ref="B10:E10"/>
    <mergeCell ref="B11:E11"/>
    <mergeCell ref="B12:E12"/>
    <mergeCell ref="B13:E13"/>
    <mergeCell ref="B14:E14"/>
    <mergeCell ref="B15:E15"/>
    <mergeCell ref="B16:E16"/>
    <mergeCell ref="B17:E17"/>
    <mergeCell ref="B23:E23"/>
    <mergeCell ref="G4:I4"/>
    <mergeCell ref="G5:I5"/>
    <mergeCell ref="B24:E24"/>
    <mergeCell ref="B25:E25"/>
    <mergeCell ref="B26:E26"/>
    <mergeCell ref="B18:E18"/>
    <mergeCell ref="B20:E20"/>
    <mergeCell ref="B21:E21"/>
    <mergeCell ref="B19:E19"/>
    <mergeCell ref="B22:E22"/>
    <mergeCell ref="G6:I6"/>
    <mergeCell ref="C4:D4"/>
  </mergeCells>
  <conditionalFormatting sqref="E5">
    <cfRule type="containsText" dxfId="11" priority="1" operator="containsText" text="Terminé">
      <formula>NOT(ISERROR(SEARCH("Terminé",E5)))</formula>
    </cfRule>
    <cfRule type="containsText" dxfId="10" priority="2" operator="containsText" text="En cours">
      <formula>NOT(ISERROR(SEARCH("En cours",E5)))</formula>
    </cfRule>
    <cfRule type="containsText" dxfId="9" priority="3" operator="containsText" text="A faire">
      <formula>NOT(ISERROR(SEARCH("A faire",E5)))</formula>
    </cfRule>
  </conditionalFormatting>
  <hyperlinks>
    <hyperlink ref="G4:I4" location="'Objectifs CO2'!A1" display="Lien vers Objectifs CO2"/>
    <hyperlink ref="G5:I5" location="'Synthèse CO2'!A1" display="Lien synthèse CO2"/>
    <hyperlink ref="G6" location="CALENDRIER!A1" display="Lien vers CALENDRIER"/>
  </hyperlinks>
  <pageMargins left="0.7" right="0.7" top="0.75" bottom="0.75" header="0.3" footer="0.3"/>
  <pageSetup paperSize="9" scale="85"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8"/>
  <sheetViews>
    <sheetView topLeftCell="A4" zoomScaleNormal="100" zoomScaleSheetLayoutView="190"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2" ht="21" x14ac:dyDescent="0.35">
      <c r="A1" s="11" t="s">
        <v>87</v>
      </c>
      <c r="B1" s="11"/>
      <c r="C1" s="11"/>
      <c r="D1" s="11"/>
      <c r="E1" s="11"/>
    </row>
    <row r="2" spans="1:12" ht="26.25" x14ac:dyDescent="0.4">
      <c r="A2" s="856" t="s">
        <v>913</v>
      </c>
      <c r="B2" s="856"/>
      <c r="C2" s="856"/>
      <c r="D2" s="856"/>
      <c r="E2" s="856"/>
    </row>
    <row r="3" spans="1:12" ht="27" thickBot="1" x14ac:dyDescent="0.45">
      <c r="A3" s="358"/>
      <c r="B3" s="358"/>
      <c r="C3" s="358"/>
      <c r="D3" s="358"/>
      <c r="E3" s="358"/>
    </row>
    <row r="4" spans="1:12" ht="15.75" thickBot="1" x14ac:dyDescent="0.3">
      <c r="A4" s="12"/>
      <c r="B4" s="233" t="s">
        <v>469</v>
      </c>
      <c r="C4" s="851" t="s">
        <v>35</v>
      </c>
      <c r="D4" s="852"/>
      <c r="E4" s="175" t="s">
        <v>694</v>
      </c>
      <c r="G4" s="848" t="s">
        <v>914</v>
      </c>
      <c r="H4" s="848"/>
      <c r="I4" s="848"/>
    </row>
    <row r="5" spans="1:12" ht="18.75" customHeight="1" x14ac:dyDescent="0.25">
      <c r="A5" s="381" t="s">
        <v>651</v>
      </c>
      <c r="B5" s="382" t="s">
        <v>652</v>
      </c>
      <c r="C5" s="820" t="s">
        <v>18</v>
      </c>
      <c r="D5" s="820"/>
      <c r="E5" s="232" t="s">
        <v>21</v>
      </c>
      <c r="G5" s="848" t="s">
        <v>915</v>
      </c>
      <c r="H5" s="848"/>
      <c r="I5" s="848"/>
    </row>
    <row r="6" spans="1:12" ht="16.5" thickBot="1" x14ac:dyDescent="0.3">
      <c r="A6" s="379" t="s">
        <v>660</v>
      </c>
      <c r="B6" s="380" t="s">
        <v>28</v>
      </c>
      <c r="C6" s="16"/>
      <c r="D6" s="16"/>
      <c r="E6" s="16"/>
      <c r="G6" s="850" t="s">
        <v>916</v>
      </c>
      <c r="H6" s="850"/>
      <c r="I6" s="850"/>
    </row>
    <row r="7" spans="1:12" ht="24" customHeight="1" thickBot="1" x14ac:dyDescent="0.3">
      <c r="A7" s="207" t="s">
        <v>1</v>
      </c>
      <c r="B7" s="820" t="s">
        <v>787</v>
      </c>
      <c r="C7" s="820"/>
      <c r="D7" s="820"/>
      <c r="E7" s="820"/>
    </row>
    <row r="8" spans="1:12" ht="24" customHeight="1" thickBot="1" x14ac:dyDescent="0.3">
      <c r="A8" s="207" t="s">
        <v>0</v>
      </c>
      <c r="B8" s="820" t="s">
        <v>696</v>
      </c>
      <c r="C8" s="820"/>
      <c r="D8" s="820"/>
      <c r="E8" s="820"/>
    </row>
    <row r="9" spans="1:12" ht="68.25" customHeight="1" x14ac:dyDescent="0.25">
      <c r="A9" s="208" t="s">
        <v>2</v>
      </c>
      <c r="B9" s="890" t="s">
        <v>722</v>
      </c>
      <c r="C9" s="890"/>
      <c r="D9" s="890"/>
      <c r="E9" s="890"/>
      <c r="G9" s="259" t="s">
        <v>559</v>
      </c>
      <c r="H9" s="259" t="s">
        <v>235</v>
      </c>
      <c r="I9" s="259" t="s">
        <v>272</v>
      </c>
      <c r="J9" s="259" t="s">
        <v>697</v>
      </c>
      <c r="K9" s="259" t="s">
        <v>698</v>
      </c>
      <c r="L9" s="259" t="s">
        <v>699</v>
      </c>
    </row>
    <row r="10" spans="1:12" ht="54" customHeight="1" x14ac:dyDescent="0.25">
      <c r="A10" s="208" t="s">
        <v>31</v>
      </c>
      <c r="B10" s="889"/>
      <c r="C10" s="889"/>
      <c r="D10" s="889"/>
      <c r="E10" s="889"/>
      <c r="G10" s="259">
        <v>0.04</v>
      </c>
      <c r="H10" s="259">
        <v>65</v>
      </c>
      <c r="I10" s="259">
        <v>0.36499999999999999</v>
      </c>
      <c r="J10" s="259">
        <v>10</v>
      </c>
      <c r="K10" s="259">
        <v>0.7</v>
      </c>
      <c r="L10" s="259">
        <v>0.75</v>
      </c>
    </row>
    <row r="11" spans="1:12" ht="30" customHeight="1" x14ac:dyDescent="0.25">
      <c r="A11" s="209" t="s">
        <v>16</v>
      </c>
      <c r="B11" s="874" t="s">
        <v>512</v>
      </c>
      <c r="C11" s="874"/>
      <c r="D11" s="874"/>
      <c r="E11" s="874"/>
    </row>
    <row r="12" spans="1:12" ht="30" customHeight="1" x14ac:dyDescent="0.25">
      <c r="A12" s="209" t="s">
        <v>3</v>
      </c>
      <c r="B12" s="874"/>
      <c r="C12" s="874"/>
      <c r="D12" s="874"/>
      <c r="E12" s="874"/>
    </row>
    <row r="13" spans="1:12" ht="30" customHeight="1" x14ac:dyDescent="0.25">
      <c r="A13" s="209" t="s">
        <v>17</v>
      </c>
      <c r="B13" s="874"/>
      <c r="C13" s="874"/>
      <c r="D13" s="874"/>
      <c r="E13" s="874"/>
    </row>
    <row r="14" spans="1:12" ht="30" customHeight="1" x14ac:dyDescent="0.25">
      <c r="A14" s="209" t="s">
        <v>4</v>
      </c>
      <c r="B14" s="874">
        <v>2009</v>
      </c>
      <c r="C14" s="874"/>
      <c r="D14" s="874"/>
      <c r="E14" s="874"/>
    </row>
    <row r="15" spans="1:12" ht="30" customHeight="1" x14ac:dyDescent="0.25">
      <c r="A15" s="209" t="s">
        <v>5</v>
      </c>
      <c r="B15" s="874">
        <v>2009</v>
      </c>
      <c r="C15" s="874"/>
      <c r="D15" s="874"/>
      <c r="E15" s="874"/>
    </row>
    <row r="16" spans="1:12" ht="30" customHeight="1" x14ac:dyDescent="0.25">
      <c r="A16" s="209" t="s">
        <v>6</v>
      </c>
      <c r="B16" s="845">
        <v>80000</v>
      </c>
      <c r="C16" s="845"/>
      <c r="D16" s="845"/>
      <c r="E16" s="845"/>
    </row>
    <row r="17" spans="1:8" ht="30" customHeight="1" x14ac:dyDescent="0.25">
      <c r="A17" s="209" t="s">
        <v>7</v>
      </c>
      <c r="B17" s="845">
        <f>B16*0.35</f>
        <v>28000</v>
      </c>
      <c r="C17" s="845"/>
      <c r="D17" s="845"/>
      <c r="E17" s="845"/>
    </row>
    <row r="18" spans="1:8" ht="30" customHeight="1" x14ac:dyDescent="0.25">
      <c r="A18" s="210" t="s">
        <v>468</v>
      </c>
      <c r="B18" s="868"/>
      <c r="C18" s="869"/>
      <c r="D18" s="869"/>
      <c r="E18" s="869"/>
      <c r="G18" s="2"/>
      <c r="H18" s="2"/>
    </row>
    <row r="19" spans="1:8" ht="30" customHeight="1" x14ac:dyDescent="0.25">
      <c r="A19" s="238" t="s">
        <v>467</v>
      </c>
      <c r="B19" s="870">
        <f>J10*K10*L10*24*365</f>
        <v>45990</v>
      </c>
      <c r="C19" s="871"/>
      <c r="D19" s="871"/>
      <c r="E19" s="871"/>
      <c r="G19" s="2"/>
      <c r="H19" s="2"/>
    </row>
    <row r="20" spans="1:8" ht="30" customHeight="1" x14ac:dyDescent="0.25">
      <c r="A20" s="209" t="s">
        <v>8</v>
      </c>
      <c r="B20" s="845">
        <f>B19*G10</f>
        <v>1839.6000000000001</v>
      </c>
      <c r="C20" s="845"/>
      <c r="D20" s="845"/>
      <c r="E20" s="845"/>
      <c r="F20" s="83"/>
    </row>
    <row r="21" spans="1:8" ht="30" customHeight="1" x14ac:dyDescent="0.25">
      <c r="A21" s="209" t="s">
        <v>9</v>
      </c>
      <c r="B21" s="845">
        <f>B19/1000*H10</f>
        <v>2989.35</v>
      </c>
      <c r="C21" s="845"/>
      <c r="D21" s="845"/>
      <c r="E21" s="845"/>
      <c r="F21" s="94"/>
    </row>
    <row r="22" spans="1:8" ht="30" customHeight="1" x14ac:dyDescent="0.25">
      <c r="A22" s="209" t="s">
        <v>465</v>
      </c>
      <c r="B22" s="846">
        <f>B16/(B20+B21)</f>
        <v>16.566748464987214</v>
      </c>
      <c r="C22" s="846"/>
      <c r="D22" s="846"/>
      <c r="E22" s="846"/>
      <c r="F22" s="95"/>
    </row>
    <row r="23" spans="1:8" ht="30" customHeight="1" x14ac:dyDescent="0.25">
      <c r="A23" s="209" t="s">
        <v>466</v>
      </c>
      <c r="B23" s="847">
        <f>(B16-B17)/(B20+B21)</f>
        <v>10.768386502241688</v>
      </c>
      <c r="C23" s="847"/>
      <c r="D23" s="847"/>
      <c r="E23" s="847"/>
      <c r="F23" s="95"/>
    </row>
    <row r="24" spans="1:8" ht="30" customHeight="1" x14ac:dyDescent="0.25">
      <c r="A24" s="211" t="s">
        <v>476</v>
      </c>
      <c r="B24" s="901">
        <f>B19/1000*I10</f>
        <v>16.786349999999999</v>
      </c>
      <c r="C24" s="901"/>
      <c r="D24" s="901"/>
      <c r="E24" s="901"/>
      <c r="F24" s="96"/>
    </row>
    <row r="25" spans="1:8" ht="30" customHeight="1" x14ac:dyDescent="0.25">
      <c r="A25" s="212" t="s">
        <v>463</v>
      </c>
      <c r="B25" s="881">
        <f>B24/'Objectifs CO2'!C12</f>
        <v>4.8649216382823839E-3</v>
      </c>
      <c r="C25" s="881"/>
      <c r="D25" s="881"/>
      <c r="E25" s="881"/>
      <c r="F25" s="97"/>
    </row>
    <row r="26" spans="1:8" ht="30" customHeight="1" x14ac:dyDescent="0.25">
      <c r="A26" s="213" t="s">
        <v>464</v>
      </c>
      <c r="B26" s="881">
        <f>B24/'Objectifs CO2'!C8</f>
        <v>2.4324608191411919E-3</v>
      </c>
      <c r="C26" s="881"/>
      <c r="D26" s="881"/>
      <c r="E26" s="881"/>
      <c r="F26" s="98"/>
    </row>
    <row r="27" spans="1:8" ht="30" customHeight="1" x14ac:dyDescent="0.25">
      <c r="A27" s="213" t="s">
        <v>24</v>
      </c>
      <c r="B27" s="853" t="s">
        <v>10</v>
      </c>
      <c r="C27" s="853"/>
      <c r="D27" s="853"/>
      <c r="E27" s="853"/>
      <c r="F27" s="84"/>
    </row>
    <row r="28" spans="1:8" ht="30" customHeight="1" x14ac:dyDescent="0.25">
      <c r="A28" s="213" t="s">
        <v>418</v>
      </c>
      <c r="B28" s="853"/>
      <c r="C28" s="853"/>
      <c r="D28" s="853"/>
      <c r="E28" s="853"/>
    </row>
  </sheetData>
  <mergeCells count="28">
    <mergeCell ref="B26:E26"/>
    <mergeCell ref="B27:E27"/>
    <mergeCell ref="B28:E28"/>
    <mergeCell ref="B20:E20"/>
    <mergeCell ref="B21:E21"/>
    <mergeCell ref="B22:E22"/>
    <mergeCell ref="B23:E23"/>
    <mergeCell ref="B24:E24"/>
    <mergeCell ref="B25:E25"/>
    <mergeCell ref="B19:E19"/>
    <mergeCell ref="B8:E8"/>
    <mergeCell ref="B9:E9"/>
    <mergeCell ref="B10:E10"/>
    <mergeCell ref="B11:E11"/>
    <mergeCell ref="B12:E12"/>
    <mergeCell ref="B13:E13"/>
    <mergeCell ref="B14:E14"/>
    <mergeCell ref="B15:E15"/>
    <mergeCell ref="B16:E16"/>
    <mergeCell ref="B17:E17"/>
    <mergeCell ref="B18:E18"/>
    <mergeCell ref="B7:E7"/>
    <mergeCell ref="A2:E2"/>
    <mergeCell ref="G4:I4"/>
    <mergeCell ref="C5:D5"/>
    <mergeCell ref="G5:I5"/>
    <mergeCell ref="G6:I6"/>
    <mergeCell ref="C4:D4"/>
  </mergeCells>
  <conditionalFormatting sqref="E5">
    <cfRule type="containsText" dxfId="8" priority="1" operator="containsText" text="Terminé">
      <formula>NOT(ISERROR(SEARCH("Terminé",E5)))</formula>
    </cfRule>
    <cfRule type="containsText" dxfId="7" priority="2" operator="containsText" text="En cours">
      <formula>NOT(ISERROR(SEARCH("En cours",E5)))</formula>
    </cfRule>
    <cfRule type="containsText" dxfId="6" priority="3" operator="containsText" text="A faire">
      <formula>NOT(ISERROR(SEARCH("A faire",E5)))</formula>
    </cfRule>
  </conditionalFormatting>
  <hyperlinks>
    <hyperlink ref="G4:I4" location="'Objectifs CO2'!A1" display="Lien vers Objectifs CO2"/>
    <hyperlink ref="G5:I5" location="'Synthèse CO2'!A1" display="Lien synthèse CO2"/>
    <hyperlink ref="G6" location="CALENDRIER!A1" display="Lien vers CALENDRIER"/>
  </hyperlinks>
  <pageMargins left="0.7" right="0.7" top="0.75" bottom="0.75" header="0.3" footer="0.3"/>
  <pageSetup paperSize="9" scale="9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8"/>
  <sheetViews>
    <sheetView topLeftCell="B1" zoomScaleNormal="100" zoomScaleSheetLayoutView="175"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2" ht="21" x14ac:dyDescent="0.35">
      <c r="A1" s="11" t="s">
        <v>87</v>
      </c>
      <c r="B1" s="11"/>
      <c r="C1" s="11"/>
      <c r="D1" s="11"/>
      <c r="E1" s="11"/>
    </row>
    <row r="2" spans="1:12" ht="26.25" x14ac:dyDescent="0.4">
      <c r="A2" s="856" t="s">
        <v>913</v>
      </c>
      <c r="B2" s="856"/>
      <c r="C2" s="856"/>
      <c r="D2" s="856"/>
      <c r="E2" s="856"/>
    </row>
    <row r="3" spans="1:12" ht="27" thickBot="1" x14ac:dyDescent="0.45">
      <c r="A3" s="358"/>
      <c r="B3" s="358"/>
      <c r="C3" s="358"/>
      <c r="D3" s="358"/>
      <c r="E3" s="358"/>
    </row>
    <row r="4" spans="1:12" ht="15.75" thickBot="1" x14ac:dyDescent="0.3">
      <c r="A4" s="12"/>
      <c r="B4" s="233" t="s">
        <v>469</v>
      </c>
      <c r="C4" s="851" t="s">
        <v>40</v>
      </c>
      <c r="D4" s="852"/>
      <c r="E4" s="175" t="s">
        <v>695</v>
      </c>
      <c r="G4" s="848" t="s">
        <v>914</v>
      </c>
      <c r="H4" s="848"/>
      <c r="I4" s="848"/>
    </row>
    <row r="5" spans="1:12" ht="18.75" customHeight="1" x14ac:dyDescent="0.25">
      <c r="A5" s="381" t="s">
        <v>651</v>
      </c>
      <c r="B5" s="382" t="s">
        <v>652</v>
      </c>
      <c r="C5" s="820" t="s">
        <v>18</v>
      </c>
      <c r="D5" s="820"/>
      <c r="E5" s="232" t="s">
        <v>21</v>
      </c>
      <c r="G5" s="848" t="s">
        <v>915</v>
      </c>
      <c r="H5" s="848"/>
      <c r="I5" s="848"/>
    </row>
    <row r="6" spans="1:12" ht="16.5" thickBot="1" x14ac:dyDescent="0.3">
      <c r="A6" s="379" t="s">
        <v>660</v>
      </c>
      <c r="B6" s="380" t="s">
        <v>28</v>
      </c>
      <c r="C6" s="16"/>
      <c r="D6" s="16"/>
      <c r="E6" s="16"/>
      <c r="G6" s="850" t="s">
        <v>916</v>
      </c>
      <c r="H6" s="850"/>
      <c r="I6" s="850"/>
    </row>
    <row r="7" spans="1:12" ht="24" customHeight="1" thickBot="1" x14ac:dyDescent="0.3">
      <c r="A7" s="207" t="s">
        <v>1</v>
      </c>
      <c r="B7" s="820" t="s">
        <v>787</v>
      </c>
      <c r="C7" s="820"/>
      <c r="D7" s="820"/>
      <c r="E7" s="820"/>
    </row>
    <row r="8" spans="1:12" ht="24" customHeight="1" thickBot="1" x14ac:dyDescent="0.3">
      <c r="A8" s="207" t="s">
        <v>0</v>
      </c>
      <c r="B8" s="820" t="s">
        <v>744</v>
      </c>
      <c r="C8" s="820"/>
      <c r="D8" s="820"/>
      <c r="E8" s="820"/>
    </row>
    <row r="9" spans="1:12" ht="114.75" customHeight="1" x14ac:dyDescent="0.25">
      <c r="A9" s="208" t="s">
        <v>2</v>
      </c>
      <c r="B9" s="890" t="s">
        <v>967</v>
      </c>
      <c r="C9" s="890"/>
      <c r="D9" s="890"/>
      <c r="E9" s="890"/>
      <c r="G9" s="259" t="s">
        <v>559</v>
      </c>
      <c r="H9" s="259" t="s">
        <v>235</v>
      </c>
      <c r="I9" s="259" t="s">
        <v>272</v>
      </c>
      <c r="J9" s="259" t="s">
        <v>697</v>
      </c>
      <c r="K9" s="259" t="s">
        <v>698</v>
      </c>
      <c r="L9" s="259" t="s">
        <v>699</v>
      </c>
    </row>
    <row r="10" spans="1:12" ht="54" customHeight="1" x14ac:dyDescent="0.25">
      <c r="A10" s="208" t="s">
        <v>31</v>
      </c>
      <c r="B10" s="889"/>
      <c r="C10" s="889"/>
      <c r="D10" s="889"/>
      <c r="E10" s="889"/>
      <c r="G10" s="259">
        <v>0.19</v>
      </c>
      <c r="H10" s="259">
        <v>65</v>
      </c>
      <c r="I10" s="259">
        <v>0.36499999999999999</v>
      </c>
      <c r="J10" s="259">
        <v>20</v>
      </c>
      <c r="K10" s="259">
        <v>0.59</v>
      </c>
      <c r="L10" s="259">
        <v>0.75</v>
      </c>
    </row>
    <row r="11" spans="1:12" ht="30" customHeight="1" x14ac:dyDescent="0.25">
      <c r="A11" s="209" t="s">
        <v>16</v>
      </c>
      <c r="B11" s="874" t="s">
        <v>86</v>
      </c>
      <c r="C11" s="874"/>
      <c r="D11" s="874"/>
      <c r="E11" s="874"/>
      <c r="H11" s="143" t="s">
        <v>966</v>
      </c>
    </row>
    <row r="12" spans="1:12" ht="30" customHeight="1" x14ac:dyDescent="0.25">
      <c r="A12" s="209" t="s">
        <v>3</v>
      </c>
      <c r="B12" s="874"/>
      <c r="C12" s="874"/>
      <c r="D12" s="874"/>
      <c r="E12" s="874"/>
      <c r="H12" s="143">
        <v>1.8</v>
      </c>
    </row>
    <row r="13" spans="1:12" ht="30" customHeight="1" x14ac:dyDescent="0.25">
      <c r="A13" s="209" t="s">
        <v>17</v>
      </c>
      <c r="B13" s="874" t="s">
        <v>612</v>
      </c>
      <c r="C13" s="874"/>
      <c r="D13" s="874"/>
      <c r="E13" s="874"/>
    </row>
    <row r="14" spans="1:12" ht="30" customHeight="1" x14ac:dyDescent="0.25">
      <c r="A14" s="209" t="s">
        <v>4</v>
      </c>
      <c r="B14" s="874">
        <v>2015</v>
      </c>
      <c r="C14" s="874"/>
      <c r="D14" s="874"/>
      <c r="E14" s="874"/>
    </row>
    <row r="15" spans="1:12" ht="30" customHeight="1" x14ac:dyDescent="0.25">
      <c r="A15" s="209" t="s">
        <v>5</v>
      </c>
      <c r="B15" s="874">
        <v>2017</v>
      </c>
      <c r="C15" s="874"/>
      <c r="D15" s="874"/>
      <c r="E15" s="874"/>
    </row>
    <row r="16" spans="1:12" ht="30" customHeight="1" x14ac:dyDescent="0.25">
      <c r="A16" s="209" t="s">
        <v>6</v>
      </c>
      <c r="B16" s="845">
        <v>451000</v>
      </c>
      <c r="C16" s="845"/>
      <c r="D16" s="845"/>
      <c r="E16" s="845"/>
    </row>
    <row r="17" spans="1:8" ht="30" customHeight="1" x14ac:dyDescent="0.25">
      <c r="A17" s="209" t="s">
        <v>7</v>
      </c>
      <c r="B17" s="845">
        <v>0</v>
      </c>
      <c r="C17" s="845"/>
      <c r="D17" s="845"/>
      <c r="E17" s="845"/>
    </row>
    <row r="18" spans="1:8" ht="30" customHeight="1" x14ac:dyDescent="0.25">
      <c r="A18" s="210" t="s">
        <v>468</v>
      </c>
      <c r="B18" s="868"/>
      <c r="C18" s="869"/>
      <c r="D18" s="869"/>
      <c r="E18" s="869"/>
      <c r="G18" s="2"/>
      <c r="H18" s="2"/>
    </row>
    <row r="19" spans="1:8" ht="30" customHeight="1" x14ac:dyDescent="0.25">
      <c r="A19" s="238" t="s">
        <v>467</v>
      </c>
      <c r="B19" s="870">
        <f>J10*K10*L10*24*365</f>
        <v>77525.999999999985</v>
      </c>
      <c r="C19" s="871"/>
      <c r="D19" s="871"/>
      <c r="E19" s="871"/>
      <c r="G19" s="2"/>
      <c r="H19" s="2"/>
    </row>
    <row r="20" spans="1:8" ht="30" customHeight="1" x14ac:dyDescent="0.25">
      <c r="A20" s="209" t="s">
        <v>8</v>
      </c>
      <c r="B20" s="845">
        <f>B19*G10</f>
        <v>14729.939999999997</v>
      </c>
      <c r="C20" s="845"/>
      <c r="D20" s="845"/>
      <c r="E20" s="845"/>
      <c r="F20" s="83"/>
    </row>
    <row r="21" spans="1:8" ht="30" customHeight="1" x14ac:dyDescent="0.25">
      <c r="A21" s="209" t="s">
        <v>9</v>
      </c>
      <c r="B21" s="845">
        <f>B19/1000*H10*H12</f>
        <v>9070.5419999999976</v>
      </c>
      <c r="C21" s="845"/>
      <c r="D21" s="845"/>
      <c r="E21" s="845"/>
      <c r="F21" s="94"/>
    </row>
    <row r="22" spans="1:8" ht="30" customHeight="1" x14ac:dyDescent="0.25">
      <c r="A22" s="209" t="s">
        <v>465</v>
      </c>
      <c r="B22" s="846">
        <f>B16/(B20+B21)</f>
        <v>18.949196070903106</v>
      </c>
      <c r="C22" s="846"/>
      <c r="D22" s="846"/>
      <c r="E22" s="846"/>
      <c r="F22" s="95"/>
    </row>
    <row r="23" spans="1:8" ht="30" customHeight="1" x14ac:dyDescent="0.25">
      <c r="A23" s="209" t="s">
        <v>466</v>
      </c>
      <c r="B23" s="847">
        <f>(B16-B17)/(B20+B21)</f>
        <v>18.949196070903106</v>
      </c>
      <c r="C23" s="847"/>
      <c r="D23" s="847"/>
      <c r="E23" s="847"/>
      <c r="F23" s="95"/>
    </row>
    <row r="24" spans="1:8" ht="30" customHeight="1" x14ac:dyDescent="0.25">
      <c r="A24" s="211" t="s">
        <v>476</v>
      </c>
      <c r="B24" s="901">
        <f>B19/1000*I10</f>
        <v>28.296989999999994</v>
      </c>
      <c r="C24" s="901"/>
      <c r="D24" s="901"/>
      <c r="E24" s="901"/>
      <c r="F24" s="96"/>
    </row>
    <row r="25" spans="1:8" ht="30" customHeight="1" x14ac:dyDescent="0.25">
      <c r="A25" s="212" t="s">
        <v>463</v>
      </c>
      <c r="B25" s="881">
        <f>B24/'Objectifs CO2'!C15</f>
        <v>2.0502169761332897E-2</v>
      </c>
      <c r="C25" s="881"/>
      <c r="D25" s="881"/>
      <c r="E25" s="881"/>
      <c r="F25" s="97"/>
    </row>
    <row r="26" spans="1:8" ht="30" customHeight="1" x14ac:dyDescent="0.25">
      <c r="A26" s="213" t="s">
        <v>464</v>
      </c>
      <c r="B26" s="881">
        <f>B24/'Objectifs CO2'!C8</f>
        <v>4.1004339522665795E-3</v>
      </c>
      <c r="C26" s="881"/>
      <c r="D26" s="881"/>
      <c r="E26" s="881"/>
      <c r="F26" s="98"/>
    </row>
    <row r="27" spans="1:8" ht="30" customHeight="1" x14ac:dyDescent="0.25">
      <c r="A27" s="213" t="s">
        <v>24</v>
      </c>
      <c r="B27" s="853" t="s">
        <v>10</v>
      </c>
      <c r="C27" s="853"/>
      <c r="D27" s="853"/>
      <c r="E27" s="853"/>
      <c r="F27" s="84"/>
    </row>
    <row r="28" spans="1:8" ht="30" customHeight="1" x14ac:dyDescent="0.25">
      <c r="A28" s="213" t="s">
        <v>418</v>
      </c>
      <c r="B28" s="853"/>
      <c r="C28" s="853"/>
      <c r="D28" s="853"/>
      <c r="E28" s="853"/>
    </row>
  </sheetData>
  <mergeCells count="28">
    <mergeCell ref="B26:E26"/>
    <mergeCell ref="B27:E27"/>
    <mergeCell ref="B28:E28"/>
    <mergeCell ref="B20:E20"/>
    <mergeCell ref="B21:E21"/>
    <mergeCell ref="B22:E22"/>
    <mergeCell ref="B23:E23"/>
    <mergeCell ref="B24:E24"/>
    <mergeCell ref="B25:E25"/>
    <mergeCell ref="B19:E19"/>
    <mergeCell ref="B8:E8"/>
    <mergeCell ref="B9:E9"/>
    <mergeCell ref="B10:E10"/>
    <mergeCell ref="B11:E11"/>
    <mergeCell ref="B12:E12"/>
    <mergeCell ref="B13:E13"/>
    <mergeCell ref="B14:E14"/>
    <mergeCell ref="B15:E15"/>
    <mergeCell ref="B16:E16"/>
    <mergeCell ref="B17:E17"/>
    <mergeCell ref="B18:E18"/>
    <mergeCell ref="B7:E7"/>
    <mergeCell ref="A2:E2"/>
    <mergeCell ref="G4:I4"/>
    <mergeCell ref="C5:D5"/>
    <mergeCell ref="G5:I5"/>
    <mergeCell ref="G6:I6"/>
    <mergeCell ref="C4:D4"/>
  </mergeCells>
  <conditionalFormatting sqref="E5">
    <cfRule type="containsText" dxfId="5" priority="1" operator="containsText" text="Terminé">
      <formula>NOT(ISERROR(SEARCH("Terminé",E5)))</formula>
    </cfRule>
    <cfRule type="containsText" dxfId="4" priority="2" operator="containsText" text="En cours">
      <formula>NOT(ISERROR(SEARCH("En cours",E5)))</formula>
    </cfRule>
    <cfRule type="containsText" dxfId="3" priority="3" operator="containsText" text="A faire">
      <formula>NOT(ISERROR(SEARCH("A faire",E5)))</formula>
    </cfRule>
  </conditionalFormatting>
  <hyperlinks>
    <hyperlink ref="G4:I4" location="'Objectifs CO2'!A1" display="Lien vers Objectifs CO2"/>
    <hyperlink ref="G5:I5" location="'Synthèse CO2'!A1" display="Lien synthèse CO2"/>
    <hyperlink ref="G6" location="CALENDRIER!A1" display="Lien vers CALENDRIER"/>
  </hyperlinks>
  <pageMargins left="0.7" right="0.7" top="0.75" bottom="0.75" header="0.3" footer="0.3"/>
  <pageSetup paperSize="9" scale="89" orientation="portrait" r:id="rId1"/>
  <colBreaks count="1" manualBreakCount="1">
    <brk id="6"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8"/>
  <sheetViews>
    <sheetView zoomScaleNormal="100" zoomScaleSheetLayoutView="175" workbookViewId="0">
      <selection activeCell="G4" sqref="G4:I4"/>
    </sheetView>
  </sheetViews>
  <sheetFormatPr baseColWidth="10" defaultRowHeight="15" x14ac:dyDescent="0.25"/>
  <cols>
    <col min="1" max="1" width="40.7109375" style="37" customWidth="1"/>
    <col min="2" max="2" width="16.7109375" style="37" customWidth="1"/>
    <col min="3" max="3" width="17.140625" style="37" customWidth="1"/>
    <col min="4" max="4" width="4.5703125" style="37" bestFit="1" customWidth="1"/>
    <col min="5" max="5" width="17.42578125" style="37" customWidth="1"/>
    <col min="6" max="6" width="1.140625" style="37" customWidth="1"/>
    <col min="7" max="16384" width="11.42578125" style="37"/>
  </cols>
  <sheetData>
    <row r="1" spans="1:12" ht="21" x14ac:dyDescent="0.35">
      <c r="A1" s="11" t="s">
        <v>87</v>
      </c>
      <c r="B1" s="11"/>
      <c r="C1" s="11"/>
      <c r="D1" s="11"/>
      <c r="E1" s="11"/>
    </row>
    <row r="2" spans="1:12" ht="26.25" x14ac:dyDescent="0.4">
      <c r="A2" s="856" t="s">
        <v>913</v>
      </c>
      <c r="B2" s="856"/>
      <c r="C2" s="856"/>
      <c r="D2" s="856"/>
      <c r="E2" s="856"/>
    </row>
    <row r="3" spans="1:12" ht="27" thickBot="1" x14ac:dyDescent="0.45">
      <c r="A3" s="369"/>
      <c r="B3" s="369"/>
      <c r="C3" s="369"/>
      <c r="D3" s="369"/>
      <c r="E3" s="369"/>
    </row>
    <row r="4" spans="1:12" ht="15.75" thickBot="1" x14ac:dyDescent="0.3">
      <c r="A4" s="12"/>
      <c r="B4" s="233" t="s">
        <v>469</v>
      </c>
      <c r="C4" s="851" t="s">
        <v>40</v>
      </c>
      <c r="D4" s="852"/>
      <c r="E4" s="175" t="s">
        <v>745</v>
      </c>
      <c r="G4" s="848" t="s">
        <v>914</v>
      </c>
      <c r="H4" s="848"/>
      <c r="I4" s="848"/>
    </row>
    <row r="5" spans="1:12" ht="18.75" customHeight="1" x14ac:dyDescent="0.25">
      <c r="A5" s="381" t="s">
        <v>651</v>
      </c>
      <c r="B5" s="382" t="s">
        <v>652</v>
      </c>
      <c r="C5" s="820" t="s">
        <v>18</v>
      </c>
      <c r="D5" s="820"/>
      <c r="E5" s="232" t="s">
        <v>19</v>
      </c>
      <c r="G5" s="848" t="s">
        <v>915</v>
      </c>
      <c r="H5" s="848"/>
      <c r="I5" s="848"/>
    </row>
    <row r="6" spans="1:12" ht="16.5" thickBot="1" x14ac:dyDescent="0.3">
      <c r="A6" s="379" t="s">
        <v>660</v>
      </c>
      <c r="B6" s="380" t="s">
        <v>28</v>
      </c>
      <c r="C6" s="16"/>
      <c r="D6" s="16"/>
      <c r="E6" s="16"/>
      <c r="G6" s="850" t="s">
        <v>916</v>
      </c>
      <c r="H6" s="850"/>
      <c r="I6" s="850"/>
    </row>
    <row r="7" spans="1:12" ht="24" customHeight="1" thickBot="1" x14ac:dyDescent="0.3">
      <c r="A7" s="207" t="s">
        <v>1</v>
      </c>
      <c r="B7" s="820" t="s">
        <v>787</v>
      </c>
      <c r="C7" s="820"/>
      <c r="D7" s="820"/>
      <c r="E7" s="820"/>
    </row>
    <row r="8" spans="1:12" ht="24" customHeight="1" thickBot="1" x14ac:dyDescent="0.3">
      <c r="A8" s="207" t="s">
        <v>0</v>
      </c>
      <c r="B8" s="820" t="s">
        <v>746</v>
      </c>
      <c r="C8" s="820"/>
      <c r="D8" s="820"/>
      <c r="E8" s="820"/>
    </row>
    <row r="9" spans="1:12" ht="68.25" customHeight="1" x14ac:dyDescent="0.25">
      <c r="A9" s="208" t="s">
        <v>2</v>
      </c>
      <c r="B9" s="998" t="s">
        <v>747</v>
      </c>
      <c r="C9" s="999"/>
      <c r="D9" s="999"/>
      <c r="E9" s="1000"/>
      <c r="G9" s="259" t="s">
        <v>559</v>
      </c>
      <c r="H9" s="259" t="s">
        <v>235</v>
      </c>
      <c r="I9" s="259" t="s">
        <v>272</v>
      </c>
      <c r="J9" s="259" t="s">
        <v>697</v>
      </c>
      <c r="K9" s="259" t="s">
        <v>698</v>
      </c>
      <c r="L9" s="259" t="s">
        <v>699</v>
      </c>
    </row>
    <row r="10" spans="1:12" ht="54" customHeight="1" x14ac:dyDescent="0.25">
      <c r="A10" s="208" t="s">
        <v>31</v>
      </c>
      <c r="B10" s="889"/>
      <c r="C10" s="889"/>
      <c r="D10" s="889"/>
      <c r="E10" s="889"/>
      <c r="G10" s="259">
        <v>0.04</v>
      </c>
      <c r="H10" s="259">
        <v>65</v>
      </c>
      <c r="I10" s="259">
        <v>0.36499999999999999</v>
      </c>
      <c r="J10" s="259">
        <v>30</v>
      </c>
      <c r="K10" s="259">
        <v>0.7</v>
      </c>
      <c r="L10" s="259">
        <v>0.75</v>
      </c>
    </row>
    <row r="11" spans="1:12" ht="30" customHeight="1" x14ac:dyDescent="0.25">
      <c r="A11" s="209" t="s">
        <v>16</v>
      </c>
      <c r="B11" s="874" t="s">
        <v>86</v>
      </c>
      <c r="C11" s="874"/>
      <c r="D11" s="874"/>
      <c r="E11" s="874"/>
    </row>
    <row r="12" spans="1:12" ht="30" customHeight="1" x14ac:dyDescent="0.25">
      <c r="A12" s="209" t="s">
        <v>3</v>
      </c>
      <c r="B12" s="874"/>
      <c r="C12" s="874"/>
      <c r="D12" s="874"/>
      <c r="E12" s="874"/>
    </row>
    <row r="13" spans="1:12" ht="30" customHeight="1" x14ac:dyDescent="0.25">
      <c r="A13" s="209" t="s">
        <v>17</v>
      </c>
      <c r="B13" s="874" t="s">
        <v>768</v>
      </c>
      <c r="C13" s="874"/>
      <c r="D13" s="874"/>
      <c r="E13" s="874"/>
    </row>
    <row r="14" spans="1:12" ht="30" customHeight="1" x14ac:dyDescent="0.25">
      <c r="A14" s="209" t="s">
        <v>4</v>
      </c>
      <c r="B14" s="874">
        <v>2017</v>
      </c>
      <c r="C14" s="874"/>
      <c r="D14" s="874"/>
      <c r="E14" s="874"/>
    </row>
    <row r="15" spans="1:12" ht="30" customHeight="1" x14ac:dyDescent="0.25">
      <c r="A15" s="209" t="s">
        <v>5</v>
      </c>
      <c r="B15" s="874">
        <v>2018</v>
      </c>
      <c r="C15" s="874"/>
      <c r="D15" s="874"/>
      <c r="E15" s="874"/>
    </row>
    <row r="16" spans="1:12" ht="30" customHeight="1" x14ac:dyDescent="0.25">
      <c r="A16" s="209" t="s">
        <v>6</v>
      </c>
      <c r="B16" s="845">
        <v>220000</v>
      </c>
      <c r="C16" s="845"/>
      <c r="D16" s="845"/>
      <c r="E16" s="845"/>
    </row>
    <row r="17" spans="1:8" ht="30" customHeight="1" x14ac:dyDescent="0.25">
      <c r="A17" s="209" t="s">
        <v>7</v>
      </c>
      <c r="B17" s="845">
        <f>B16*0.35</f>
        <v>77000</v>
      </c>
      <c r="C17" s="845"/>
      <c r="D17" s="845"/>
      <c r="E17" s="845"/>
    </row>
    <row r="18" spans="1:8" ht="30" customHeight="1" x14ac:dyDescent="0.25">
      <c r="A18" s="210" t="s">
        <v>468</v>
      </c>
      <c r="B18" s="868"/>
      <c r="C18" s="869"/>
      <c r="D18" s="869"/>
      <c r="E18" s="869"/>
      <c r="G18" s="2"/>
      <c r="H18" s="2"/>
    </row>
    <row r="19" spans="1:8" ht="30" customHeight="1" x14ac:dyDescent="0.25">
      <c r="A19" s="238" t="s">
        <v>467</v>
      </c>
      <c r="B19" s="870">
        <f>J10*K10*L10*24*365</f>
        <v>137970</v>
      </c>
      <c r="C19" s="871"/>
      <c r="D19" s="871"/>
      <c r="E19" s="871"/>
      <c r="G19" s="2"/>
      <c r="H19" s="2"/>
    </row>
    <row r="20" spans="1:8" ht="30" customHeight="1" x14ac:dyDescent="0.25">
      <c r="A20" s="209" t="s">
        <v>8</v>
      </c>
      <c r="B20" s="845">
        <f>B19*G10</f>
        <v>5518.8</v>
      </c>
      <c r="C20" s="845"/>
      <c r="D20" s="845"/>
      <c r="E20" s="845"/>
      <c r="F20" s="83"/>
    </row>
    <row r="21" spans="1:8" ht="30" customHeight="1" x14ac:dyDescent="0.25">
      <c r="A21" s="209" t="s">
        <v>9</v>
      </c>
      <c r="B21" s="845">
        <f>B19/1000*H10</f>
        <v>8968.0499999999993</v>
      </c>
      <c r="C21" s="845"/>
      <c r="D21" s="845"/>
      <c r="E21" s="845"/>
      <c r="F21" s="94"/>
    </row>
    <row r="22" spans="1:8" ht="30" customHeight="1" x14ac:dyDescent="0.25">
      <c r="A22" s="209" t="s">
        <v>465</v>
      </c>
      <c r="B22" s="846">
        <f>B16/(B20+B21)</f>
        <v>15.186186092904947</v>
      </c>
      <c r="C22" s="846"/>
      <c r="D22" s="846"/>
      <c r="E22" s="846"/>
      <c r="F22" s="95"/>
    </row>
    <row r="23" spans="1:8" ht="30" customHeight="1" x14ac:dyDescent="0.25">
      <c r="A23" s="209" t="s">
        <v>466</v>
      </c>
      <c r="B23" s="847">
        <f>(B16-B17)/(B20+B21)</f>
        <v>9.8710209603882149</v>
      </c>
      <c r="C23" s="847"/>
      <c r="D23" s="847"/>
      <c r="E23" s="847"/>
      <c r="F23" s="95"/>
    </row>
    <row r="24" spans="1:8" ht="30" customHeight="1" x14ac:dyDescent="0.25">
      <c r="A24" s="211" t="s">
        <v>476</v>
      </c>
      <c r="B24" s="901">
        <f>B19/1000*I10</f>
        <v>50.359049999999996</v>
      </c>
      <c r="C24" s="901"/>
      <c r="D24" s="901"/>
      <c r="E24" s="901"/>
      <c r="F24" s="96"/>
    </row>
    <row r="25" spans="1:8" ht="30" customHeight="1" x14ac:dyDescent="0.25">
      <c r="A25" s="212" t="s">
        <v>463</v>
      </c>
      <c r="B25" s="881">
        <f>B24/'Objectifs CO2'!C15</f>
        <v>3.6486912287117874E-2</v>
      </c>
      <c r="C25" s="881"/>
      <c r="D25" s="881"/>
      <c r="E25" s="881"/>
      <c r="F25" s="97"/>
    </row>
    <row r="26" spans="1:8" ht="30" customHeight="1" x14ac:dyDescent="0.25">
      <c r="A26" s="213" t="s">
        <v>464</v>
      </c>
      <c r="B26" s="881">
        <f>B24/'Objectifs CO2'!C8</f>
        <v>7.2973824574235754E-3</v>
      </c>
      <c r="C26" s="881"/>
      <c r="D26" s="881"/>
      <c r="E26" s="881"/>
      <c r="F26" s="98"/>
    </row>
    <row r="27" spans="1:8" ht="30" customHeight="1" x14ac:dyDescent="0.25">
      <c r="A27" s="213" t="s">
        <v>24</v>
      </c>
      <c r="B27" s="853" t="s">
        <v>10</v>
      </c>
      <c r="C27" s="853"/>
      <c r="D27" s="853"/>
      <c r="E27" s="853"/>
      <c r="F27" s="84"/>
    </row>
    <row r="28" spans="1:8" ht="30" customHeight="1" x14ac:dyDescent="0.25">
      <c r="A28" s="213" t="s">
        <v>418</v>
      </c>
      <c r="B28" s="853"/>
      <c r="C28" s="853"/>
      <c r="D28" s="853"/>
      <c r="E28" s="853"/>
    </row>
  </sheetData>
  <mergeCells count="28">
    <mergeCell ref="B26:E26"/>
    <mergeCell ref="B27:E27"/>
    <mergeCell ref="B28:E28"/>
    <mergeCell ref="B20:E20"/>
    <mergeCell ref="B21:E21"/>
    <mergeCell ref="B22:E22"/>
    <mergeCell ref="B23:E23"/>
    <mergeCell ref="B24:E24"/>
    <mergeCell ref="B25:E25"/>
    <mergeCell ref="B19:E19"/>
    <mergeCell ref="B8:E8"/>
    <mergeCell ref="B9:E9"/>
    <mergeCell ref="B10:E10"/>
    <mergeCell ref="B11:E11"/>
    <mergeCell ref="B12:E12"/>
    <mergeCell ref="B13:E13"/>
    <mergeCell ref="B14:E14"/>
    <mergeCell ref="B15:E15"/>
    <mergeCell ref="B16:E16"/>
    <mergeCell ref="B17:E17"/>
    <mergeCell ref="B18:E18"/>
    <mergeCell ref="B7:E7"/>
    <mergeCell ref="A2:E2"/>
    <mergeCell ref="G4:I4"/>
    <mergeCell ref="C5:D5"/>
    <mergeCell ref="G5:I5"/>
    <mergeCell ref="G6:I6"/>
    <mergeCell ref="C4:D4"/>
  </mergeCells>
  <conditionalFormatting sqref="E5">
    <cfRule type="containsText" dxfId="2" priority="1" operator="containsText" text="Terminé">
      <formula>NOT(ISERROR(SEARCH("Terminé",E5)))</formula>
    </cfRule>
    <cfRule type="containsText" dxfId="1" priority="2" operator="containsText" text="En cours">
      <formula>NOT(ISERROR(SEARCH("En cours",E5)))</formula>
    </cfRule>
    <cfRule type="containsText" dxfId="0" priority="3" operator="containsText" text="A faire">
      <formula>NOT(ISERROR(SEARCH("A faire",E5)))</formula>
    </cfRule>
  </conditionalFormatting>
  <hyperlinks>
    <hyperlink ref="G4:I4" location="'Objectifs CO2'!A1" display="Lien vers Objectifs CO2"/>
    <hyperlink ref="G5:I5" location="'Synthèse CO2'!A1" display="Lien synthèse CO2"/>
    <hyperlink ref="G6" location="CALENDRIER!A1" display="Lien vers CALENDRIER"/>
  </hyperlinks>
  <pageMargins left="0.7" right="0.7" top="0.75" bottom="0.75" header="0.3" footer="0.3"/>
  <pageSetup paperSize="9" scale="9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'Objectifs CO2'!$P$8:$P$12</xm:f>
          </x14:formula1>
          <xm:sqref>E5</xm:sqref>
        </x14:dataValidation>
        <x14:dataValidation type="list" allowBlank="1" showInputMessage="1" showErrorMessage="1">
          <x14:formula1>
            <xm:f>'Objectifs CO2'!$T$8:$T$14</xm:f>
          </x14:formula1>
          <xm:sqref>B6</xm:sqref>
        </x14:dataValidation>
        <x14:dataValidation type="list" allowBlank="1" showInputMessage="1" showErrorMessage="1">
          <x14:formula1>
            <xm:f>'Objectifs CO2'!$R$8:$R$15</xm:f>
          </x14:formula1>
          <xm:sqref>B5</xm:sqref>
        </x14:dataValidation>
        <x14:dataValidation type="list" allowBlank="1" showInputMessage="1" showErrorMessage="1">
          <x14:formula1>
            <xm:f>'Objectifs CO2'!$U$3:$U$9</xm:f>
          </x14:formula1>
          <xm:sqref>C4:D4</xm:sqref>
        </x14:dataValidation>
      </x14:dataValidations>
    </ext>
  </extLst>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O236"/>
  <sheetViews>
    <sheetView topLeftCell="A172" workbookViewId="0">
      <selection activeCell="C180" sqref="C180"/>
    </sheetView>
  </sheetViews>
  <sheetFormatPr baseColWidth="10" defaultRowHeight="15" x14ac:dyDescent="0.25"/>
  <cols>
    <col min="1" max="1" width="11.42578125" style="37"/>
    <col min="2" max="2" width="5.7109375" style="37" customWidth="1"/>
    <col min="3" max="3" width="13" style="37" customWidth="1"/>
    <col min="4" max="4" width="9.42578125" style="37" customWidth="1"/>
    <col min="5" max="5" width="9.5703125" style="148" customWidth="1"/>
    <col min="6" max="7" width="11.42578125" style="148"/>
    <col min="8" max="12" width="11.42578125" style="148" customWidth="1"/>
    <col min="13" max="16384" width="11.42578125" style="37"/>
  </cols>
  <sheetData>
    <row r="1" spans="2:15" x14ac:dyDescent="0.25">
      <c r="B1" s="37" t="s">
        <v>83</v>
      </c>
      <c r="J1" s="148" t="s">
        <v>332</v>
      </c>
    </row>
    <row r="2" spans="2:15" x14ac:dyDescent="0.25">
      <c r="B2" s="37" t="s">
        <v>333</v>
      </c>
      <c r="J2" s="148" t="s">
        <v>334</v>
      </c>
    </row>
    <row r="3" spans="2:15" ht="18" customHeight="1" x14ac:dyDescent="0.3">
      <c r="B3" s="1001" t="s">
        <v>335</v>
      </c>
      <c r="C3" s="1001"/>
      <c r="D3" s="1001"/>
      <c r="E3" s="1001"/>
      <c r="F3" s="1001"/>
      <c r="G3" s="1001"/>
      <c r="H3" s="1001"/>
      <c r="I3" s="1002" t="s">
        <v>336</v>
      </c>
      <c r="J3" s="1002"/>
      <c r="K3" s="1002"/>
      <c r="L3" s="1003"/>
    </row>
    <row r="4" spans="2:15" ht="18" customHeight="1" x14ac:dyDescent="0.3">
      <c r="B4" s="149"/>
      <c r="C4" s="37">
        <v>0.45</v>
      </c>
      <c r="E4" s="150"/>
      <c r="F4" s="151"/>
      <c r="G4" s="151"/>
      <c r="H4" s="151"/>
      <c r="I4" s="152"/>
      <c r="J4" s="152"/>
      <c r="K4" s="152"/>
      <c r="L4" s="150"/>
    </row>
    <row r="5" spans="2:15" ht="28.5" customHeight="1" x14ac:dyDescent="0.25">
      <c r="B5" s="153" t="s">
        <v>337</v>
      </c>
      <c r="C5" s="154" t="s">
        <v>338</v>
      </c>
      <c r="D5" s="155" t="s">
        <v>339</v>
      </c>
      <c r="E5" s="156"/>
      <c r="F5" s="157" t="s">
        <v>340</v>
      </c>
      <c r="G5" s="157">
        <v>3</v>
      </c>
      <c r="H5" s="157">
        <v>3</v>
      </c>
      <c r="I5" s="157" t="s">
        <v>341</v>
      </c>
      <c r="J5" s="157">
        <v>28</v>
      </c>
      <c r="K5" s="157" t="s">
        <v>342</v>
      </c>
      <c r="L5" s="143">
        <v>5040</v>
      </c>
      <c r="O5" s="154"/>
    </row>
    <row r="6" spans="2:15" x14ac:dyDescent="0.25">
      <c r="B6" s="143"/>
      <c r="C6" s="154"/>
      <c r="D6" s="158" t="s">
        <v>343</v>
      </c>
      <c r="E6" s="143" t="s">
        <v>344</v>
      </c>
      <c r="F6" s="143" t="s">
        <v>345</v>
      </c>
      <c r="G6" s="143" t="s">
        <v>346</v>
      </c>
      <c r="H6" s="143" t="s">
        <v>347</v>
      </c>
      <c r="I6" s="143" t="s">
        <v>348</v>
      </c>
      <c r="J6" s="157" t="s">
        <v>349</v>
      </c>
      <c r="K6" s="143" t="s">
        <v>350</v>
      </c>
      <c r="L6" s="143" t="s">
        <v>155</v>
      </c>
      <c r="O6" s="158"/>
    </row>
    <row r="7" spans="2:15" x14ac:dyDescent="0.25">
      <c r="B7" s="154">
        <v>1</v>
      </c>
      <c r="C7" s="159">
        <f t="shared" ref="C7:C194" si="0">D7/C$4</f>
        <v>800</v>
      </c>
      <c r="D7" s="242">
        <v>360</v>
      </c>
      <c r="E7" s="242">
        <v>90</v>
      </c>
      <c r="F7" s="143">
        <v>4</v>
      </c>
      <c r="G7" s="143">
        <v>0.3</v>
      </c>
      <c r="H7" s="143">
        <v>16</v>
      </c>
      <c r="I7" s="143">
        <v>5.5</v>
      </c>
      <c r="J7" s="143">
        <v>0.78</v>
      </c>
      <c r="K7" s="157">
        <f t="shared" ref="K7:K44" si="1">(F7-G7)*1*((H7-G$5-H$5)-I7)*L$5/J7/1000</f>
        <v>107.5846153846154</v>
      </c>
      <c r="L7" s="157">
        <f t="shared" ref="L7:L44" si="2">E7*K7</f>
        <v>9682.6153846153866</v>
      </c>
      <c r="O7" s="154"/>
    </row>
    <row r="8" spans="2:15" x14ac:dyDescent="0.25">
      <c r="B8" s="154">
        <v>2</v>
      </c>
      <c r="C8" s="159">
        <f t="shared" si="0"/>
        <v>256</v>
      </c>
      <c r="D8" s="242">
        <v>115.2</v>
      </c>
      <c r="E8" s="242">
        <v>28.8</v>
      </c>
      <c r="F8" s="143">
        <v>4</v>
      </c>
      <c r="G8" s="143">
        <v>0.3</v>
      </c>
      <c r="H8" s="143">
        <v>16</v>
      </c>
      <c r="I8" s="143">
        <v>5.5</v>
      </c>
      <c r="J8" s="143">
        <v>0.78</v>
      </c>
      <c r="K8" s="157">
        <f t="shared" si="1"/>
        <v>107.5846153846154</v>
      </c>
      <c r="L8" s="157">
        <f t="shared" si="2"/>
        <v>3098.4369230769239</v>
      </c>
      <c r="O8" s="154"/>
    </row>
    <row r="9" spans="2:15" x14ac:dyDescent="0.25">
      <c r="B9" s="154">
        <v>3</v>
      </c>
      <c r="C9" s="159">
        <f t="shared" si="0"/>
        <v>226.13333333333333</v>
      </c>
      <c r="D9" s="242">
        <v>101.76</v>
      </c>
      <c r="E9" s="242">
        <v>25.44</v>
      </c>
      <c r="F9" s="143">
        <v>4</v>
      </c>
      <c r="G9" s="143">
        <v>0.3</v>
      </c>
      <c r="H9" s="143">
        <v>16</v>
      </c>
      <c r="I9" s="143">
        <v>5.5</v>
      </c>
      <c r="J9" s="143">
        <v>0.78</v>
      </c>
      <c r="K9" s="157">
        <f t="shared" si="1"/>
        <v>107.5846153846154</v>
      </c>
      <c r="L9" s="157">
        <f t="shared" si="2"/>
        <v>2736.9526153846159</v>
      </c>
      <c r="O9" s="154"/>
    </row>
    <row r="10" spans="2:15" x14ac:dyDescent="0.25">
      <c r="B10" s="154">
        <v>4</v>
      </c>
      <c r="C10" s="159">
        <f t="shared" si="0"/>
        <v>320</v>
      </c>
      <c r="D10" s="242">
        <v>144</v>
      </c>
      <c r="E10" s="242">
        <v>36</v>
      </c>
      <c r="F10" s="143">
        <v>4</v>
      </c>
      <c r="G10" s="143">
        <v>0.3</v>
      </c>
      <c r="H10" s="143">
        <v>16</v>
      </c>
      <c r="I10" s="143">
        <v>5.5</v>
      </c>
      <c r="J10" s="143">
        <v>0.78</v>
      </c>
      <c r="K10" s="157">
        <f t="shared" si="1"/>
        <v>107.5846153846154</v>
      </c>
      <c r="L10" s="157">
        <f t="shared" si="2"/>
        <v>3873.0461538461545</v>
      </c>
      <c r="O10" s="154"/>
    </row>
    <row r="11" spans="2:15" x14ac:dyDescent="0.25">
      <c r="B11" s="154">
        <v>5</v>
      </c>
      <c r="C11" s="159">
        <f t="shared" si="0"/>
        <v>759.1111111111112</v>
      </c>
      <c r="D11" s="242">
        <v>341.6</v>
      </c>
      <c r="E11" s="242">
        <v>42.7</v>
      </c>
      <c r="F11" s="143">
        <v>4</v>
      </c>
      <c r="G11" s="143">
        <v>0.3</v>
      </c>
      <c r="H11" s="143">
        <v>16</v>
      </c>
      <c r="I11" s="143">
        <v>5.5</v>
      </c>
      <c r="J11" s="143">
        <v>0.78</v>
      </c>
      <c r="K11" s="157">
        <f t="shared" si="1"/>
        <v>107.5846153846154</v>
      </c>
      <c r="L11" s="157">
        <f t="shared" si="2"/>
        <v>4593.8630769230776</v>
      </c>
      <c r="O11" s="154"/>
    </row>
    <row r="12" spans="2:15" x14ac:dyDescent="0.25">
      <c r="B12" s="154">
        <v>6</v>
      </c>
      <c r="C12" s="159">
        <f t="shared" si="0"/>
        <v>1324.4444444444443</v>
      </c>
      <c r="D12" s="242">
        <v>596</v>
      </c>
      <c r="E12" s="242">
        <v>149</v>
      </c>
      <c r="F12" s="143">
        <v>4</v>
      </c>
      <c r="G12" s="143">
        <v>0.3</v>
      </c>
      <c r="H12" s="143">
        <v>16</v>
      </c>
      <c r="I12" s="143">
        <v>5.5</v>
      </c>
      <c r="J12" s="143">
        <v>0.78</v>
      </c>
      <c r="K12" s="157">
        <f t="shared" si="1"/>
        <v>107.5846153846154</v>
      </c>
      <c r="L12" s="157">
        <f t="shared" si="2"/>
        <v>16030.107692307694</v>
      </c>
      <c r="O12" s="154"/>
    </row>
    <row r="13" spans="2:15" x14ac:dyDescent="0.25">
      <c r="B13" s="154">
        <v>7</v>
      </c>
      <c r="C13" s="159">
        <f t="shared" si="0"/>
        <v>2191.4666666666667</v>
      </c>
      <c r="D13" s="242">
        <v>986.16</v>
      </c>
      <c r="E13" s="242">
        <v>123.27</v>
      </c>
      <c r="F13" s="143">
        <v>4</v>
      </c>
      <c r="G13" s="143">
        <v>0.3</v>
      </c>
      <c r="H13" s="143">
        <v>16</v>
      </c>
      <c r="I13" s="143">
        <v>5.5</v>
      </c>
      <c r="J13" s="143">
        <v>0.78</v>
      </c>
      <c r="K13" s="157">
        <f t="shared" si="1"/>
        <v>107.5846153846154</v>
      </c>
      <c r="L13" s="157">
        <f t="shared" si="2"/>
        <v>13261.95553846154</v>
      </c>
      <c r="O13" s="154"/>
    </row>
    <row r="14" spans="2:15" x14ac:dyDescent="0.25">
      <c r="B14" s="154">
        <v>8</v>
      </c>
      <c r="C14" s="159">
        <f t="shared" si="0"/>
        <v>831.99999999999989</v>
      </c>
      <c r="D14" s="242">
        <v>374.4</v>
      </c>
      <c r="E14" s="242">
        <v>93.6</v>
      </c>
      <c r="F14" s="143">
        <v>4</v>
      </c>
      <c r="G14" s="143">
        <v>0.3</v>
      </c>
      <c r="H14" s="143">
        <v>16</v>
      </c>
      <c r="I14" s="143">
        <v>5.5</v>
      </c>
      <c r="J14" s="143">
        <v>0.78</v>
      </c>
      <c r="K14" s="157">
        <f t="shared" si="1"/>
        <v>107.5846153846154</v>
      </c>
      <c r="L14" s="157">
        <f t="shared" si="2"/>
        <v>10069.920000000002</v>
      </c>
      <c r="O14" s="154"/>
    </row>
    <row r="15" spans="2:15" x14ac:dyDescent="0.25">
      <c r="B15" s="154">
        <v>9</v>
      </c>
      <c r="C15" s="159">
        <f t="shared" si="0"/>
        <v>2268.9777777777781</v>
      </c>
      <c r="D15" s="242">
        <v>1021.0400000000001</v>
      </c>
      <c r="E15" s="242">
        <v>127.63000000000001</v>
      </c>
      <c r="F15" s="143">
        <v>4</v>
      </c>
      <c r="G15" s="143">
        <v>0.3</v>
      </c>
      <c r="H15" s="143">
        <v>16</v>
      </c>
      <c r="I15" s="143">
        <v>5.5</v>
      </c>
      <c r="J15" s="143">
        <v>0.78</v>
      </c>
      <c r="K15" s="157">
        <f t="shared" si="1"/>
        <v>107.5846153846154</v>
      </c>
      <c r="L15" s="157">
        <f t="shared" si="2"/>
        <v>13731.024461538465</v>
      </c>
      <c r="O15" s="154"/>
    </row>
    <row r="16" spans="2:15" x14ac:dyDescent="0.25">
      <c r="B16" s="154">
        <v>10</v>
      </c>
      <c r="C16" s="159">
        <f t="shared" si="0"/>
        <v>1152</v>
      </c>
      <c r="D16" s="242">
        <v>518.4</v>
      </c>
      <c r="E16" s="242">
        <v>129.6</v>
      </c>
      <c r="F16" s="143">
        <v>4</v>
      </c>
      <c r="G16" s="143">
        <v>0.3</v>
      </c>
      <c r="H16" s="143">
        <v>16</v>
      </c>
      <c r="I16" s="143">
        <v>5.5</v>
      </c>
      <c r="J16" s="143">
        <v>0.78</v>
      </c>
      <c r="K16" s="157">
        <f t="shared" si="1"/>
        <v>107.5846153846154</v>
      </c>
      <c r="L16" s="157">
        <f t="shared" si="2"/>
        <v>13942.966153846155</v>
      </c>
      <c r="O16" s="154"/>
    </row>
    <row r="17" spans="2:15" x14ac:dyDescent="0.25">
      <c r="B17" s="154">
        <v>11</v>
      </c>
      <c r="C17" s="159">
        <f t="shared" si="0"/>
        <v>297.24444444444441</v>
      </c>
      <c r="D17" s="242">
        <v>133.76</v>
      </c>
      <c r="E17" s="242">
        <v>33.44</v>
      </c>
      <c r="F17" s="143">
        <v>4</v>
      </c>
      <c r="G17" s="143">
        <v>0.3</v>
      </c>
      <c r="H17" s="143">
        <v>16</v>
      </c>
      <c r="I17" s="143">
        <v>5.5</v>
      </c>
      <c r="J17" s="143">
        <v>0.78</v>
      </c>
      <c r="K17" s="157">
        <f t="shared" si="1"/>
        <v>107.5846153846154</v>
      </c>
      <c r="L17" s="157">
        <f t="shared" si="2"/>
        <v>3597.6295384615387</v>
      </c>
      <c r="O17" s="154"/>
    </row>
    <row r="18" spans="2:15" x14ac:dyDescent="0.25">
      <c r="B18" s="154">
        <v>12</v>
      </c>
      <c r="C18" s="159">
        <f t="shared" si="0"/>
        <v>711.11111111111109</v>
      </c>
      <c r="D18" s="242">
        <v>320</v>
      </c>
      <c r="E18" s="242">
        <v>80</v>
      </c>
      <c r="F18" s="143">
        <v>4</v>
      </c>
      <c r="G18" s="143">
        <v>0.3</v>
      </c>
      <c r="H18" s="143">
        <v>16</v>
      </c>
      <c r="I18" s="143">
        <v>5.5</v>
      </c>
      <c r="J18" s="143">
        <v>0.78</v>
      </c>
      <c r="K18" s="157">
        <f t="shared" si="1"/>
        <v>107.5846153846154</v>
      </c>
      <c r="L18" s="157">
        <f t="shared" si="2"/>
        <v>8606.7692307692323</v>
      </c>
      <c r="O18" s="154"/>
    </row>
    <row r="19" spans="2:15" x14ac:dyDescent="0.25">
      <c r="B19" s="154">
        <v>13</v>
      </c>
      <c r="C19" s="159">
        <f t="shared" si="0"/>
        <v>2346.6666666666665</v>
      </c>
      <c r="D19" s="242">
        <v>1056</v>
      </c>
      <c r="E19" s="242">
        <v>132</v>
      </c>
      <c r="F19" s="143">
        <v>4</v>
      </c>
      <c r="G19" s="143">
        <v>0.3</v>
      </c>
      <c r="H19" s="143">
        <v>16</v>
      </c>
      <c r="I19" s="143">
        <v>5.5</v>
      </c>
      <c r="J19" s="143">
        <v>0.78</v>
      </c>
      <c r="K19" s="157">
        <f t="shared" si="1"/>
        <v>107.5846153846154</v>
      </c>
      <c r="L19" s="157">
        <f t="shared" si="2"/>
        <v>14201.169230769234</v>
      </c>
      <c r="O19" s="154"/>
    </row>
    <row r="20" spans="2:15" x14ac:dyDescent="0.25">
      <c r="B20" s="154">
        <v>14</v>
      </c>
      <c r="C20" s="159">
        <f t="shared" si="0"/>
        <v>1468.4444444444443</v>
      </c>
      <c r="D20" s="242">
        <v>660.8</v>
      </c>
      <c r="E20" s="242">
        <v>82.6</v>
      </c>
      <c r="F20" s="143">
        <v>4</v>
      </c>
      <c r="G20" s="143">
        <v>0.3</v>
      </c>
      <c r="H20" s="143">
        <v>16</v>
      </c>
      <c r="I20" s="143">
        <v>5.5</v>
      </c>
      <c r="J20" s="143">
        <v>0.78</v>
      </c>
      <c r="K20" s="157">
        <f t="shared" si="1"/>
        <v>107.5846153846154</v>
      </c>
      <c r="L20" s="157">
        <f t="shared" si="2"/>
        <v>8886.4892307692317</v>
      </c>
      <c r="O20" s="154"/>
    </row>
    <row r="21" spans="2:15" x14ac:dyDescent="0.25">
      <c r="B21" s="154">
        <v>15</v>
      </c>
      <c r="C21" s="159">
        <f t="shared" si="0"/>
        <v>320</v>
      </c>
      <c r="D21" s="242">
        <v>144</v>
      </c>
      <c r="E21" s="242">
        <v>36</v>
      </c>
      <c r="F21" s="143">
        <v>4</v>
      </c>
      <c r="G21" s="143">
        <v>0.3</v>
      </c>
      <c r="H21" s="143">
        <v>16</v>
      </c>
      <c r="I21" s="143">
        <v>5.5</v>
      </c>
      <c r="J21" s="143">
        <v>0.78</v>
      </c>
      <c r="K21" s="157">
        <f t="shared" si="1"/>
        <v>107.5846153846154</v>
      </c>
      <c r="L21" s="157">
        <f t="shared" si="2"/>
        <v>3873.0461538461545</v>
      </c>
      <c r="O21" s="154"/>
    </row>
    <row r="22" spans="2:15" x14ac:dyDescent="0.25">
      <c r="B22" s="154">
        <v>16</v>
      </c>
      <c r="C22" s="159">
        <f t="shared" si="0"/>
        <v>320</v>
      </c>
      <c r="D22" s="242">
        <v>144</v>
      </c>
      <c r="E22" s="242">
        <v>36</v>
      </c>
      <c r="F22" s="143">
        <v>4</v>
      </c>
      <c r="G22" s="143">
        <v>0.3</v>
      </c>
      <c r="H22" s="143">
        <v>16</v>
      </c>
      <c r="I22" s="143">
        <v>5.5</v>
      </c>
      <c r="J22" s="143">
        <v>0.78</v>
      </c>
      <c r="K22" s="157">
        <f t="shared" si="1"/>
        <v>107.5846153846154</v>
      </c>
      <c r="L22" s="157">
        <f t="shared" si="2"/>
        <v>3873.0461538461545</v>
      </c>
      <c r="O22" s="154"/>
    </row>
    <row r="23" spans="2:15" x14ac:dyDescent="0.25">
      <c r="B23" s="154">
        <v>17</v>
      </c>
      <c r="C23" s="159">
        <f t="shared" si="0"/>
        <v>1742.2222222222222</v>
      </c>
      <c r="D23" s="242">
        <v>784</v>
      </c>
      <c r="E23" s="242">
        <v>98</v>
      </c>
      <c r="F23" s="143">
        <v>4</v>
      </c>
      <c r="G23" s="143">
        <v>0.3</v>
      </c>
      <c r="H23" s="143">
        <v>16</v>
      </c>
      <c r="I23" s="143">
        <v>5.5</v>
      </c>
      <c r="J23" s="143">
        <v>0.78</v>
      </c>
      <c r="K23" s="157">
        <f t="shared" si="1"/>
        <v>107.5846153846154</v>
      </c>
      <c r="L23" s="157">
        <f t="shared" si="2"/>
        <v>10543.292307692309</v>
      </c>
      <c r="O23" s="154"/>
    </row>
    <row r="24" spans="2:15" x14ac:dyDescent="0.25">
      <c r="B24" s="154">
        <v>18</v>
      </c>
      <c r="C24" s="159">
        <f t="shared" si="0"/>
        <v>4444.4444444444443</v>
      </c>
      <c r="D24" s="242">
        <v>2000</v>
      </c>
      <c r="E24" s="242">
        <v>217</v>
      </c>
      <c r="F24" s="143">
        <v>4</v>
      </c>
      <c r="G24" s="143">
        <v>0.3</v>
      </c>
      <c r="H24" s="143">
        <v>16</v>
      </c>
      <c r="I24" s="143">
        <v>5.5</v>
      </c>
      <c r="J24" s="143">
        <v>0.78</v>
      </c>
      <c r="K24" s="157">
        <f t="shared" si="1"/>
        <v>107.5846153846154</v>
      </c>
      <c r="L24" s="157">
        <f t="shared" si="2"/>
        <v>23345.861538461544</v>
      </c>
      <c r="O24" s="154"/>
    </row>
    <row r="25" spans="2:15" x14ac:dyDescent="0.25">
      <c r="B25" s="154">
        <v>19</v>
      </c>
      <c r="C25" s="159">
        <f t="shared" si="0"/>
        <v>618.66666666666674</v>
      </c>
      <c r="D25" s="242">
        <v>278.40000000000003</v>
      </c>
      <c r="E25" s="242">
        <v>55.68</v>
      </c>
      <c r="F25" s="143">
        <v>4</v>
      </c>
      <c r="G25" s="143">
        <v>0.3</v>
      </c>
      <c r="H25" s="143">
        <v>16</v>
      </c>
      <c r="I25" s="143">
        <v>5.5</v>
      </c>
      <c r="J25" s="143">
        <v>0.78</v>
      </c>
      <c r="K25" s="157">
        <f t="shared" si="1"/>
        <v>107.5846153846154</v>
      </c>
      <c r="L25" s="157">
        <f t="shared" si="2"/>
        <v>5990.3113846153856</v>
      </c>
      <c r="O25" s="154"/>
    </row>
    <row r="26" spans="2:15" x14ac:dyDescent="0.25">
      <c r="B26" s="154">
        <v>20</v>
      </c>
      <c r="C26" s="159">
        <f t="shared" si="0"/>
        <v>777.77777777777771</v>
      </c>
      <c r="D26" s="242">
        <v>350</v>
      </c>
      <c r="E26" s="242">
        <v>70</v>
      </c>
      <c r="F26" s="143">
        <v>4</v>
      </c>
      <c r="G26" s="143">
        <v>0.3</v>
      </c>
      <c r="H26" s="143">
        <v>16</v>
      </c>
      <c r="I26" s="143">
        <v>5.5</v>
      </c>
      <c r="J26" s="143">
        <v>0.78</v>
      </c>
      <c r="K26" s="157">
        <f t="shared" si="1"/>
        <v>107.5846153846154</v>
      </c>
      <c r="L26" s="157">
        <f t="shared" si="2"/>
        <v>7530.923076923078</v>
      </c>
      <c r="O26" s="154"/>
    </row>
    <row r="27" spans="2:15" x14ac:dyDescent="0.25">
      <c r="B27" s="154">
        <v>21</v>
      </c>
      <c r="C27" s="159">
        <f t="shared" si="0"/>
        <v>1488.8888888888889</v>
      </c>
      <c r="D27" s="242">
        <v>670</v>
      </c>
      <c r="E27" s="242">
        <v>67</v>
      </c>
      <c r="F27" s="143">
        <v>4</v>
      </c>
      <c r="G27" s="143">
        <v>0.3</v>
      </c>
      <c r="H27" s="143">
        <v>16</v>
      </c>
      <c r="I27" s="143">
        <v>5.5</v>
      </c>
      <c r="J27" s="143">
        <v>0.78</v>
      </c>
      <c r="K27" s="157">
        <f t="shared" si="1"/>
        <v>107.5846153846154</v>
      </c>
      <c r="L27" s="157">
        <f t="shared" si="2"/>
        <v>7208.1692307692319</v>
      </c>
      <c r="O27" s="154"/>
    </row>
    <row r="28" spans="2:15" x14ac:dyDescent="0.25">
      <c r="B28" s="154">
        <v>22</v>
      </c>
      <c r="C28" s="159">
        <f t="shared" si="0"/>
        <v>2222.2222222222222</v>
      </c>
      <c r="D28" s="242">
        <v>1000</v>
      </c>
      <c r="E28" s="242">
        <v>100</v>
      </c>
      <c r="F28" s="143">
        <v>4</v>
      </c>
      <c r="G28" s="143">
        <v>0.3</v>
      </c>
      <c r="H28" s="143">
        <v>16</v>
      </c>
      <c r="I28" s="143">
        <v>5.5</v>
      </c>
      <c r="J28" s="143">
        <v>0.78</v>
      </c>
      <c r="K28" s="157">
        <f t="shared" si="1"/>
        <v>107.5846153846154</v>
      </c>
      <c r="L28" s="157">
        <f t="shared" si="2"/>
        <v>10758.461538461541</v>
      </c>
      <c r="O28" s="154"/>
    </row>
    <row r="29" spans="2:15" x14ac:dyDescent="0.25">
      <c r="B29" s="154">
        <v>23</v>
      </c>
      <c r="C29" s="159">
        <f t="shared" si="0"/>
        <v>1777.7777777777778</v>
      </c>
      <c r="D29" s="242">
        <v>800</v>
      </c>
      <c r="E29" s="242">
        <v>145</v>
      </c>
      <c r="F29" s="143">
        <v>4</v>
      </c>
      <c r="G29" s="143">
        <v>0.3</v>
      </c>
      <c r="H29" s="143">
        <v>16</v>
      </c>
      <c r="I29" s="143">
        <v>5.5</v>
      </c>
      <c r="J29" s="143">
        <v>0.78</v>
      </c>
      <c r="K29" s="157">
        <f t="shared" si="1"/>
        <v>107.5846153846154</v>
      </c>
      <c r="L29" s="157">
        <f t="shared" si="2"/>
        <v>15599.769230769234</v>
      </c>
      <c r="O29" s="154"/>
    </row>
    <row r="30" spans="2:15" x14ac:dyDescent="0.25">
      <c r="B30" s="154">
        <v>24</v>
      </c>
      <c r="C30" s="159">
        <f t="shared" si="0"/>
        <v>1777.7777777777778</v>
      </c>
      <c r="D30" s="242">
        <v>800</v>
      </c>
      <c r="E30" s="242">
        <v>145</v>
      </c>
      <c r="F30" s="143">
        <v>4</v>
      </c>
      <c r="G30" s="143">
        <v>0.3</v>
      </c>
      <c r="H30" s="143">
        <v>16</v>
      </c>
      <c r="I30" s="143">
        <v>5.5</v>
      </c>
      <c r="J30" s="143">
        <v>0.78</v>
      </c>
      <c r="K30" s="157">
        <f t="shared" si="1"/>
        <v>107.5846153846154</v>
      </c>
      <c r="L30" s="157">
        <f t="shared" si="2"/>
        <v>15599.769230769234</v>
      </c>
      <c r="O30" s="154"/>
    </row>
    <row r="31" spans="2:15" x14ac:dyDescent="0.25">
      <c r="B31" s="154">
        <v>25</v>
      </c>
      <c r="C31" s="159">
        <f t="shared" si="0"/>
        <v>1000</v>
      </c>
      <c r="D31" s="242">
        <v>450</v>
      </c>
      <c r="E31" s="242">
        <v>45</v>
      </c>
      <c r="F31" s="143">
        <v>4</v>
      </c>
      <c r="G31" s="143">
        <v>0.3</v>
      </c>
      <c r="H31" s="143">
        <v>16</v>
      </c>
      <c r="I31" s="143">
        <v>5.5</v>
      </c>
      <c r="J31" s="143">
        <v>0.78</v>
      </c>
      <c r="K31" s="157">
        <f t="shared" si="1"/>
        <v>107.5846153846154</v>
      </c>
      <c r="L31" s="157">
        <f t="shared" si="2"/>
        <v>4841.3076923076933</v>
      </c>
      <c r="O31" s="154"/>
    </row>
    <row r="32" spans="2:15" x14ac:dyDescent="0.25">
      <c r="B32" s="154">
        <v>26</v>
      </c>
      <c r="C32" s="159">
        <f t="shared" si="0"/>
        <v>2222.2222222222222</v>
      </c>
      <c r="D32" s="242">
        <v>1000</v>
      </c>
      <c r="E32" s="242">
        <v>104</v>
      </c>
      <c r="F32" s="143">
        <v>4</v>
      </c>
      <c r="G32" s="143">
        <v>0.3</v>
      </c>
      <c r="H32" s="143">
        <v>16</v>
      </c>
      <c r="I32" s="143">
        <v>5.5</v>
      </c>
      <c r="J32" s="143">
        <v>0.78</v>
      </c>
      <c r="K32" s="157">
        <f t="shared" si="1"/>
        <v>107.5846153846154</v>
      </c>
      <c r="L32" s="157">
        <f t="shared" si="2"/>
        <v>11188.800000000003</v>
      </c>
      <c r="O32" s="154"/>
    </row>
    <row r="33" spans="2:15" x14ac:dyDescent="0.25">
      <c r="B33" s="154">
        <v>27</v>
      </c>
      <c r="C33" s="159">
        <f t="shared" si="0"/>
        <v>2222.2222222222222</v>
      </c>
      <c r="D33" s="242">
        <v>1000</v>
      </c>
      <c r="E33" s="242">
        <v>203.8</v>
      </c>
      <c r="F33" s="143">
        <v>4</v>
      </c>
      <c r="G33" s="143">
        <v>0.3</v>
      </c>
      <c r="H33" s="143">
        <v>16</v>
      </c>
      <c r="I33" s="143">
        <v>5.5</v>
      </c>
      <c r="J33" s="143">
        <v>0.78</v>
      </c>
      <c r="K33" s="157">
        <f t="shared" si="1"/>
        <v>107.5846153846154</v>
      </c>
      <c r="L33" s="157">
        <f t="shared" si="2"/>
        <v>21925.744615384621</v>
      </c>
      <c r="O33" s="154"/>
    </row>
    <row r="34" spans="2:15" x14ac:dyDescent="0.25">
      <c r="B34" s="154">
        <v>28</v>
      </c>
      <c r="C34" s="159">
        <f t="shared" si="0"/>
        <v>1777.7777777777778</v>
      </c>
      <c r="D34" s="242">
        <v>800</v>
      </c>
      <c r="E34" s="242">
        <v>80</v>
      </c>
      <c r="F34" s="143">
        <v>4</v>
      </c>
      <c r="G34" s="143">
        <v>0.3</v>
      </c>
      <c r="H34" s="143">
        <v>16</v>
      </c>
      <c r="I34" s="143">
        <v>5.5</v>
      </c>
      <c r="J34" s="143">
        <v>0.78</v>
      </c>
      <c r="K34" s="157">
        <f t="shared" si="1"/>
        <v>107.5846153846154</v>
      </c>
      <c r="L34" s="157">
        <f t="shared" si="2"/>
        <v>8606.7692307692323</v>
      </c>
      <c r="O34" s="154"/>
    </row>
    <row r="35" spans="2:15" x14ac:dyDescent="0.25">
      <c r="B35" s="154">
        <v>29</v>
      </c>
      <c r="C35" s="159">
        <f t="shared" si="0"/>
        <v>1233.3333333333333</v>
      </c>
      <c r="D35" s="242">
        <v>555</v>
      </c>
      <c r="E35" s="242">
        <v>55.5</v>
      </c>
      <c r="F35" s="143">
        <v>4</v>
      </c>
      <c r="G35" s="143">
        <v>0.3</v>
      </c>
      <c r="H35" s="143">
        <v>16</v>
      </c>
      <c r="I35" s="143">
        <v>5.5</v>
      </c>
      <c r="J35" s="143">
        <v>0.78</v>
      </c>
      <c r="K35" s="157">
        <f t="shared" si="1"/>
        <v>107.5846153846154</v>
      </c>
      <c r="L35" s="157">
        <f t="shared" si="2"/>
        <v>5970.9461538461546</v>
      </c>
      <c r="O35" s="154"/>
    </row>
    <row r="36" spans="2:15" x14ac:dyDescent="0.25">
      <c r="B36" s="154">
        <v>30</v>
      </c>
      <c r="C36" s="159">
        <f t="shared" si="0"/>
        <v>1675.5555555555554</v>
      </c>
      <c r="D36" s="242">
        <v>754</v>
      </c>
      <c r="E36" s="242">
        <v>75.400000000000006</v>
      </c>
      <c r="F36" s="143">
        <v>4</v>
      </c>
      <c r="G36" s="143">
        <v>0.3</v>
      </c>
      <c r="H36" s="143">
        <v>16</v>
      </c>
      <c r="I36" s="143">
        <v>5.5</v>
      </c>
      <c r="J36" s="143">
        <v>0.78</v>
      </c>
      <c r="K36" s="157">
        <f t="shared" si="1"/>
        <v>107.5846153846154</v>
      </c>
      <c r="L36" s="157">
        <f t="shared" si="2"/>
        <v>8111.8800000000019</v>
      </c>
      <c r="O36" s="154"/>
    </row>
    <row r="37" spans="2:15" x14ac:dyDescent="0.25">
      <c r="B37" s="154">
        <v>31</v>
      </c>
      <c r="C37" s="159">
        <f t="shared" si="0"/>
        <v>988.88888888888891</v>
      </c>
      <c r="D37" s="242">
        <v>445</v>
      </c>
      <c r="E37" s="242">
        <v>44.5</v>
      </c>
      <c r="F37" s="143">
        <v>4</v>
      </c>
      <c r="G37" s="143">
        <v>0.3</v>
      </c>
      <c r="H37" s="143">
        <v>16</v>
      </c>
      <c r="I37" s="143">
        <v>5.5</v>
      </c>
      <c r="J37" s="143">
        <v>0.78</v>
      </c>
      <c r="K37" s="157">
        <f t="shared" si="1"/>
        <v>107.5846153846154</v>
      </c>
      <c r="L37" s="157">
        <f t="shared" si="2"/>
        <v>4787.5153846153853</v>
      </c>
      <c r="O37" s="154"/>
    </row>
    <row r="38" spans="2:15" x14ac:dyDescent="0.25">
      <c r="B38" s="154">
        <v>32</v>
      </c>
      <c r="C38" s="159">
        <f t="shared" si="0"/>
        <v>2222.2222222222222</v>
      </c>
      <c r="D38" s="242">
        <v>1000</v>
      </c>
      <c r="E38" s="242">
        <v>112</v>
      </c>
      <c r="F38" s="143">
        <v>4</v>
      </c>
      <c r="G38" s="143">
        <v>0.3</v>
      </c>
      <c r="H38" s="143">
        <v>16</v>
      </c>
      <c r="I38" s="143">
        <v>5.5</v>
      </c>
      <c r="J38" s="143">
        <v>0.78</v>
      </c>
      <c r="K38" s="157">
        <f t="shared" si="1"/>
        <v>107.5846153846154</v>
      </c>
      <c r="L38" s="157">
        <f t="shared" si="2"/>
        <v>12049.476923076925</v>
      </c>
      <c r="O38" s="154"/>
    </row>
    <row r="39" spans="2:15" x14ac:dyDescent="0.25">
      <c r="B39" s="154">
        <v>33</v>
      </c>
      <c r="C39" s="159">
        <f t="shared" si="0"/>
        <v>2888.8888888888887</v>
      </c>
      <c r="D39" s="242">
        <v>1300</v>
      </c>
      <c r="E39" s="242">
        <v>104</v>
      </c>
      <c r="F39" s="143">
        <v>4</v>
      </c>
      <c r="G39" s="143">
        <v>0.3</v>
      </c>
      <c r="H39" s="143">
        <v>16</v>
      </c>
      <c r="I39" s="143">
        <v>5.5</v>
      </c>
      <c r="J39" s="143">
        <v>0.78</v>
      </c>
      <c r="K39" s="157">
        <f t="shared" si="1"/>
        <v>107.5846153846154</v>
      </c>
      <c r="L39" s="157">
        <f t="shared" si="2"/>
        <v>11188.800000000003</v>
      </c>
      <c r="O39" s="154"/>
    </row>
    <row r="40" spans="2:15" x14ac:dyDescent="0.25">
      <c r="B40" s="154">
        <v>34</v>
      </c>
      <c r="C40" s="159">
        <f t="shared" si="0"/>
        <v>1111.1111111111111</v>
      </c>
      <c r="D40" s="242">
        <v>500</v>
      </c>
      <c r="E40" s="242">
        <v>148</v>
      </c>
      <c r="F40" s="143">
        <v>4</v>
      </c>
      <c r="G40" s="143">
        <v>0.3</v>
      </c>
      <c r="H40" s="143">
        <v>16</v>
      </c>
      <c r="I40" s="143">
        <v>5.5</v>
      </c>
      <c r="J40" s="143">
        <v>0.78</v>
      </c>
      <c r="K40" s="157">
        <f t="shared" si="1"/>
        <v>107.5846153846154</v>
      </c>
      <c r="L40" s="157">
        <f t="shared" si="2"/>
        <v>15922.52307692308</v>
      </c>
      <c r="O40" s="154"/>
    </row>
    <row r="41" spans="2:15" x14ac:dyDescent="0.25">
      <c r="B41" s="154">
        <v>35</v>
      </c>
      <c r="C41" s="159">
        <f t="shared" si="0"/>
        <v>2583.8222222222221</v>
      </c>
      <c r="D41" s="242">
        <v>1162.72</v>
      </c>
      <c r="E41" s="242">
        <v>89.44</v>
      </c>
      <c r="F41" s="143">
        <v>4</v>
      </c>
      <c r="G41" s="143">
        <v>0.3</v>
      </c>
      <c r="H41" s="143">
        <v>16</v>
      </c>
      <c r="I41" s="143">
        <v>5.5</v>
      </c>
      <c r="J41" s="143">
        <v>0.78</v>
      </c>
      <c r="K41" s="157">
        <f t="shared" si="1"/>
        <v>107.5846153846154</v>
      </c>
      <c r="L41" s="157">
        <f t="shared" si="2"/>
        <v>9622.3680000000022</v>
      </c>
      <c r="O41" s="154"/>
    </row>
    <row r="42" spans="2:15" x14ac:dyDescent="0.25">
      <c r="B42" s="154">
        <v>36</v>
      </c>
      <c r="C42" s="159">
        <f t="shared" si="0"/>
        <v>2222.2222222222222</v>
      </c>
      <c r="D42" s="242">
        <v>1000</v>
      </c>
      <c r="E42" s="242">
        <v>200</v>
      </c>
      <c r="F42" s="143">
        <v>4</v>
      </c>
      <c r="G42" s="143">
        <v>0.3</v>
      </c>
      <c r="H42" s="143">
        <v>16</v>
      </c>
      <c r="I42" s="143">
        <v>5.5</v>
      </c>
      <c r="J42" s="143">
        <v>0.78</v>
      </c>
      <c r="K42" s="157">
        <f t="shared" si="1"/>
        <v>107.5846153846154</v>
      </c>
      <c r="L42" s="157">
        <f t="shared" si="2"/>
        <v>21516.923076923082</v>
      </c>
      <c r="O42" s="154"/>
    </row>
    <row r="43" spans="2:15" x14ac:dyDescent="0.25">
      <c r="B43" s="154">
        <v>37</v>
      </c>
      <c r="C43" s="159">
        <f t="shared" si="0"/>
        <v>300</v>
      </c>
      <c r="D43" s="242">
        <v>135</v>
      </c>
      <c r="E43" s="242">
        <v>27</v>
      </c>
      <c r="F43" s="143">
        <v>4</v>
      </c>
      <c r="G43" s="143">
        <v>0.3</v>
      </c>
      <c r="H43" s="143">
        <v>16</v>
      </c>
      <c r="I43" s="143">
        <v>5.5</v>
      </c>
      <c r="J43" s="143">
        <v>0.78</v>
      </c>
      <c r="K43" s="157">
        <f t="shared" si="1"/>
        <v>107.5846153846154</v>
      </c>
      <c r="L43" s="157">
        <f t="shared" si="2"/>
        <v>2904.7846153846158</v>
      </c>
      <c r="O43" s="154"/>
    </row>
    <row r="44" spans="2:15" x14ac:dyDescent="0.25">
      <c r="B44" s="154">
        <v>38</v>
      </c>
      <c r="C44" s="159">
        <f t="shared" si="0"/>
        <v>1964.4444444444443</v>
      </c>
      <c r="D44" s="242">
        <v>884</v>
      </c>
      <c r="E44" s="242">
        <v>68</v>
      </c>
      <c r="F44" s="143">
        <v>4</v>
      </c>
      <c r="G44" s="143">
        <v>0.3</v>
      </c>
      <c r="H44" s="143">
        <v>16</v>
      </c>
      <c r="I44" s="143">
        <v>5.5</v>
      </c>
      <c r="J44" s="143">
        <v>0.78</v>
      </c>
      <c r="K44" s="157">
        <f t="shared" si="1"/>
        <v>107.5846153846154</v>
      </c>
      <c r="L44" s="157">
        <f t="shared" si="2"/>
        <v>7315.7538461538479</v>
      </c>
      <c r="O44" s="154"/>
    </row>
    <row r="45" spans="2:15" x14ac:dyDescent="0.25">
      <c r="B45" s="154"/>
      <c r="C45" s="159">
        <f t="shared" si="0"/>
        <v>3555.5555555555557</v>
      </c>
      <c r="D45" s="242">
        <v>1600</v>
      </c>
      <c r="E45" s="242">
        <v>100</v>
      </c>
      <c r="F45" s="143">
        <v>4</v>
      </c>
      <c r="G45" s="143">
        <v>0.3</v>
      </c>
      <c r="H45" s="143">
        <v>16</v>
      </c>
      <c r="I45" s="143">
        <v>5.5</v>
      </c>
      <c r="J45" s="143">
        <v>0.78</v>
      </c>
      <c r="K45" s="157">
        <f t="shared" ref="K45:K65" si="3">(F45-G45)*1*((H45-G$5-H$5)-I45)*L$5/J45/1000</f>
        <v>107.5846153846154</v>
      </c>
      <c r="L45" s="157">
        <f t="shared" ref="L45:L65" si="4">E45*K45</f>
        <v>10758.461538461541</v>
      </c>
      <c r="O45" s="154"/>
    </row>
    <row r="46" spans="2:15" x14ac:dyDescent="0.25">
      <c r="B46" s="154"/>
      <c r="C46" s="159">
        <f t="shared" si="0"/>
        <v>2185.8222222222221</v>
      </c>
      <c r="D46" s="242">
        <v>983.62</v>
      </c>
      <c r="E46" s="242">
        <v>89.42</v>
      </c>
      <c r="F46" s="143">
        <v>4</v>
      </c>
      <c r="G46" s="143">
        <v>0.3</v>
      </c>
      <c r="H46" s="143">
        <v>16</v>
      </c>
      <c r="I46" s="143">
        <v>5.5</v>
      </c>
      <c r="J46" s="143">
        <v>0.78</v>
      </c>
      <c r="K46" s="157">
        <f t="shared" si="3"/>
        <v>107.5846153846154</v>
      </c>
      <c r="L46" s="157">
        <f t="shared" si="4"/>
        <v>9620.2163076923098</v>
      </c>
      <c r="O46" s="154"/>
    </row>
    <row r="47" spans="2:15" x14ac:dyDescent="0.25">
      <c r="B47" s="154"/>
      <c r="C47" s="159">
        <f t="shared" si="0"/>
        <v>2222.2222222222222</v>
      </c>
      <c r="D47" s="242">
        <v>1000</v>
      </c>
      <c r="E47" s="242">
        <v>100</v>
      </c>
      <c r="F47" s="143">
        <v>4</v>
      </c>
      <c r="G47" s="143">
        <v>0.3</v>
      </c>
      <c r="H47" s="143">
        <v>16</v>
      </c>
      <c r="I47" s="143">
        <v>5.5</v>
      </c>
      <c r="J47" s="143">
        <v>0.78</v>
      </c>
      <c r="K47" s="157">
        <f t="shared" si="3"/>
        <v>107.5846153846154</v>
      </c>
      <c r="L47" s="157">
        <f t="shared" si="4"/>
        <v>10758.461538461541</v>
      </c>
      <c r="O47" s="154"/>
    </row>
    <row r="48" spans="2:15" x14ac:dyDescent="0.25">
      <c r="B48" s="154"/>
      <c r="C48" s="159">
        <f t="shared" si="0"/>
        <v>1066.6666666666667</v>
      </c>
      <c r="D48" s="242">
        <v>480</v>
      </c>
      <c r="E48" s="242">
        <v>60</v>
      </c>
      <c r="F48" s="143">
        <v>4</v>
      </c>
      <c r="G48" s="143">
        <v>0.3</v>
      </c>
      <c r="H48" s="143">
        <v>16</v>
      </c>
      <c r="I48" s="143">
        <v>5.5</v>
      </c>
      <c r="J48" s="143">
        <v>0.78</v>
      </c>
      <c r="K48" s="157">
        <f t="shared" si="3"/>
        <v>107.5846153846154</v>
      </c>
      <c r="L48" s="157">
        <f t="shared" si="4"/>
        <v>6455.0769230769238</v>
      </c>
      <c r="O48" s="154"/>
    </row>
    <row r="49" spans="2:15" x14ac:dyDescent="0.25">
      <c r="B49" s="154"/>
      <c r="C49" s="159">
        <f t="shared" si="0"/>
        <v>3555.5555555555557</v>
      </c>
      <c r="D49" s="242">
        <v>1600</v>
      </c>
      <c r="E49" s="242">
        <v>135</v>
      </c>
      <c r="F49" s="143">
        <v>4</v>
      </c>
      <c r="G49" s="143">
        <v>0.3</v>
      </c>
      <c r="H49" s="143">
        <v>16</v>
      </c>
      <c r="I49" s="143">
        <v>5.5</v>
      </c>
      <c r="J49" s="143">
        <v>0.78</v>
      </c>
      <c r="K49" s="157">
        <f t="shared" si="3"/>
        <v>107.5846153846154</v>
      </c>
      <c r="L49" s="157">
        <f t="shared" si="4"/>
        <v>14523.92307692308</v>
      </c>
      <c r="O49" s="154"/>
    </row>
    <row r="50" spans="2:15" x14ac:dyDescent="0.25">
      <c r="B50" s="154"/>
      <c r="C50" s="159">
        <f t="shared" si="0"/>
        <v>3961.2444444444441</v>
      </c>
      <c r="D50" s="242">
        <v>1782.56</v>
      </c>
      <c r="E50" s="242">
        <v>137.12</v>
      </c>
      <c r="F50" s="143">
        <v>4</v>
      </c>
      <c r="G50" s="143">
        <v>0.3</v>
      </c>
      <c r="H50" s="143">
        <v>16</v>
      </c>
      <c r="I50" s="143">
        <v>5.5</v>
      </c>
      <c r="J50" s="143">
        <v>0.78</v>
      </c>
      <c r="K50" s="157">
        <f t="shared" si="3"/>
        <v>107.5846153846154</v>
      </c>
      <c r="L50" s="157">
        <f t="shared" si="4"/>
        <v>14752.002461538465</v>
      </c>
      <c r="O50" s="154"/>
    </row>
    <row r="51" spans="2:15" x14ac:dyDescent="0.25">
      <c r="B51" s="154"/>
      <c r="C51" s="159">
        <f t="shared" si="0"/>
        <v>1075.1999999999998</v>
      </c>
      <c r="D51" s="242">
        <v>483.84</v>
      </c>
      <c r="E51" s="242">
        <v>60.48</v>
      </c>
      <c r="F51" s="143">
        <v>4</v>
      </c>
      <c r="G51" s="143">
        <v>0.3</v>
      </c>
      <c r="H51" s="143">
        <v>16</v>
      </c>
      <c r="I51" s="143">
        <v>5.5</v>
      </c>
      <c r="J51" s="143">
        <v>0.78</v>
      </c>
      <c r="K51" s="157">
        <f t="shared" si="3"/>
        <v>107.5846153846154</v>
      </c>
      <c r="L51" s="157">
        <f t="shared" si="4"/>
        <v>6506.7175384615393</v>
      </c>
      <c r="O51" s="154"/>
    </row>
    <row r="52" spans="2:15" x14ac:dyDescent="0.25">
      <c r="B52" s="154"/>
      <c r="C52" s="159">
        <f t="shared" si="0"/>
        <v>2444.4444444444443</v>
      </c>
      <c r="D52" s="242">
        <v>1100</v>
      </c>
      <c r="E52" s="242">
        <v>246.96</v>
      </c>
      <c r="F52" s="143">
        <v>4</v>
      </c>
      <c r="G52" s="143">
        <v>0.3</v>
      </c>
      <c r="H52" s="143">
        <v>16</v>
      </c>
      <c r="I52" s="143">
        <v>5.5</v>
      </c>
      <c r="J52" s="143">
        <v>0.78</v>
      </c>
      <c r="K52" s="157">
        <f t="shared" si="3"/>
        <v>107.5846153846154</v>
      </c>
      <c r="L52" s="157">
        <f t="shared" si="4"/>
        <v>26569.09661538462</v>
      </c>
      <c r="O52" s="154"/>
    </row>
    <row r="53" spans="2:15" x14ac:dyDescent="0.25">
      <c r="B53" s="154"/>
      <c r="C53" s="159">
        <f t="shared" si="0"/>
        <v>2935.4666666666667</v>
      </c>
      <c r="D53" s="242">
        <v>1320.96</v>
      </c>
      <c r="E53" s="242">
        <v>82.56</v>
      </c>
      <c r="F53" s="143">
        <v>4</v>
      </c>
      <c r="G53" s="143">
        <v>0.3</v>
      </c>
      <c r="H53" s="143">
        <v>16</v>
      </c>
      <c r="I53" s="143">
        <v>5.5</v>
      </c>
      <c r="J53" s="143">
        <v>0.78</v>
      </c>
      <c r="K53" s="157">
        <f t="shared" si="3"/>
        <v>107.5846153846154</v>
      </c>
      <c r="L53" s="157">
        <f t="shared" si="4"/>
        <v>8882.1858461538486</v>
      </c>
      <c r="O53" s="154"/>
    </row>
    <row r="54" spans="2:15" x14ac:dyDescent="0.25">
      <c r="B54" s="154"/>
      <c r="C54" s="159">
        <f t="shared" si="0"/>
        <v>1299.7333333333333</v>
      </c>
      <c r="D54" s="242">
        <v>584.88</v>
      </c>
      <c r="E54" s="242">
        <v>73.11</v>
      </c>
      <c r="F54" s="143">
        <v>4</v>
      </c>
      <c r="G54" s="143">
        <v>0.3</v>
      </c>
      <c r="H54" s="143">
        <v>16</v>
      </c>
      <c r="I54" s="143">
        <v>5.5</v>
      </c>
      <c r="J54" s="143">
        <v>0.78</v>
      </c>
      <c r="K54" s="157">
        <f t="shared" si="3"/>
        <v>107.5846153846154</v>
      </c>
      <c r="L54" s="157">
        <f t="shared" si="4"/>
        <v>7865.5112307692325</v>
      </c>
      <c r="O54" s="154"/>
    </row>
    <row r="55" spans="2:15" x14ac:dyDescent="0.25">
      <c r="B55" s="154"/>
      <c r="C55" s="159">
        <f t="shared" si="0"/>
        <v>1111.1111111111111</v>
      </c>
      <c r="D55" s="242">
        <v>500</v>
      </c>
      <c r="E55" s="242">
        <v>100</v>
      </c>
      <c r="F55" s="143">
        <v>4</v>
      </c>
      <c r="G55" s="143">
        <v>0.3</v>
      </c>
      <c r="H55" s="143">
        <v>16</v>
      </c>
      <c r="I55" s="143">
        <v>5.5</v>
      </c>
      <c r="J55" s="143">
        <v>0.78</v>
      </c>
      <c r="K55" s="157">
        <f t="shared" si="3"/>
        <v>107.5846153846154</v>
      </c>
      <c r="L55" s="157">
        <f t="shared" si="4"/>
        <v>10758.461538461541</v>
      </c>
      <c r="O55" s="154"/>
    </row>
    <row r="56" spans="2:15" x14ac:dyDescent="0.25">
      <c r="B56" s="154"/>
      <c r="C56" s="159">
        <f t="shared" si="0"/>
        <v>1953.7555555555557</v>
      </c>
      <c r="D56" s="242">
        <v>879.19</v>
      </c>
      <c r="E56" s="242">
        <v>67.63</v>
      </c>
      <c r="F56" s="143">
        <v>4</v>
      </c>
      <c r="G56" s="143">
        <v>0.3</v>
      </c>
      <c r="H56" s="143">
        <v>16</v>
      </c>
      <c r="I56" s="143">
        <v>5.5</v>
      </c>
      <c r="J56" s="143">
        <v>0.78</v>
      </c>
      <c r="K56" s="157">
        <f t="shared" si="3"/>
        <v>107.5846153846154</v>
      </c>
      <c r="L56" s="157">
        <f t="shared" si="4"/>
        <v>7275.9475384615389</v>
      </c>
      <c r="O56" s="154"/>
    </row>
    <row r="57" spans="2:15" x14ac:dyDescent="0.25">
      <c r="B57" s="154"/>
      <c r="C57" s="159">
        <f t="shared" si="0"/>
        <v>719.33333333333326</v>
      </c>
      <c r="D57" s="242">
        <v>323.7</v>
      </c>
      <c r="E57" s="242">
        <v>32.369999999999997</v>
      </c>
      <c r="F57" s="143">
        <v>4</v>
      </c>
      <c r="G57" s="143">
        <v>0.3</v>
      </c>
      <c r="H57" s="143">
        <v>16</v>
      </c>
      <c r="I57" s="143">
        <v>5.5</v>
      </c>
      <c r="J57" s="143">
        <v>0.78</v>
      </c>
      <c r="K57" s="157">
        <f t="shared" si="3"/>
        <v>107.5846153846154</v>
      </c>
      <c r="L57" s="157">
        <f t="shared" si="4"/>
        <v>3482.5140000000001</v>
      </c>
      <c r="O57" s="154"/>
    </row>
    <row r="58" spans="2:15" x14ac:dyDescent="0.25">
      <c r="B58" s="154"/>
      <c r="C58" s="159">
        <f t="shared" si="0"/>
        <v>4000</v>
      </c>
      <c r="D58" s="242">
        <v>1800</v>
      </c>
      <c r="E58" s="242">
        <v>90</v>
      </c>
      <c r="F58" s="143">
        <v>4</v>
      </c>
      <c r="G58" s="143">
        <v>0.3</v>
      </c>
      <c r="H58" s="143">
        <v>16</v>
      </c>
      <c r="I58" s="143">
        <v>5.5</v>
      </c>
      <c r="J58" s="143">
        <v>0.78</v>
      </c>
      <c r="K58" s="157">
        <f t="shared" si="3"/>
        <v>107.5846153846154</v>
      </c>
      <c r="L58" s="157">
        <f t="shared" si="4"/>
        <v>9682.6153846153866</v>
      </c>
      <c r="O58" s="154"/>
    </row>
    <row r="59" spans="2:15" x14ac:dyDescent="0.25">
      <c r="B59" s="154"/>
      <c r="C59" s="159">
        <f t="shared" si="0"/>
        <v>982.22222222222217</v>
      </c>
      <c r="D59" s="242">
        <v>442</v>
      </c>
      <c r="E59" s="242">
        <v>34</v>
      </c>
      <c r="F59" s="143">
        <v>4</v>
      </c>
      <c r="G59" s="143">
        <v>0.3</v>
      </c>
      <c r="H59" s="143">
        <v>16</v>
      </c>
      <c r="I59" s="143">
        <v>5.5</v>
      </c>
      <c r="J59" s="143">
        <v>0.78</v>
      </c>
      <c r="K59" s="157">
        <f t="shared" si="3"/>
        <v>107.5846153846154</v>
      </c>
      <c r="L59" s="157">
        <f t="shared" si="4"/>
        <v>3657.876923076924</v>
      </c>
      <c r="O59" s="154"/>
    </row>
    <row r="60" spans="2:15" x14ac:dyDescent="0.25">
      <c r="B60" s="154"/>
      <c r="C60" s="159">
        <f t="shared" si="0"/>
        <v>2888.8888888888887</v>
      </c>
      <c r="D60" s="242">
        <v>1300</v>
      </c>
      <c r="E60" s="242">
        <v>100</v>
      </c>
      <c r="F60" s="143">
        <v>4</v>
      </c>
      <c r="G60" s="143">
        <v>0.3</v>
      </c>
      <c r="H60" s="143">
        <v>16</v>
      </c>
      <c r="I60" s="143">
        <v>5.5</v>
      </c>
      <c r="J60" s="143">
        <v>0.78</v>
      </c>
      <c r="K60" s="157">
        <f t="shared" si="3"/>
        <v>107.5846153846154</v>
      </c>
      <c r="L60" s="157">
        <f t="shared" si="4"/>
        <v>10758.461538461541</v>
      </c>
      <c r="O60" s="154"/>
    </row>
    <row r="61" spans="2:15" x14ac:dyDescent="0.25">
      <c r="B61" s="154"/>
      <c r="C61" s="159">
        <f t="shared" si="0"/>
        <v>2133.3333333333335</v>
      </c>
      <c r="D61" s="242">
        <v>960</v>
      </c>
      <c r="E61" s="242">
        <v>60</v>
      </c>
      <c r="F61" s="143">
        <v>4</v>
      </c>
      <c r="G61" s="143">
        <v>0.3</v>
      </c>
      <c r="H61" s="143">
        <v>16</v>
      </c>
      <c r="I61" s="143">
        <v>5.5</v>
      </c>
      <c r="J61" s="143">
        <v>0.78</v>
      </c>
      <c r="K61" s="157">
        <f t="shared" si="3"/>
        <v>107.5846153846154</v>
      </c>
      <c r="L61" s="157">
        <f t="shared" si="4"/>
        <v>6455.0769230769238</v>
      </c>
      <c r="O61" s="154"/>
    </row>
    <row r="62" spans="2:15" x14ac:dyDescent="0.25">
      <c r="B62" s="154"/>
      <c r="C62" s="159">
        <f t="shared" si="0"/>
        <v>1777.7777777777778</v>
      </c>
      <c r="D62" s="242">
        <v>800</v>
      </c>
      <c r="E62" s="242">
        <v>180</v>
      </c>
      <c r="F62" s="143">
        <v>4</v>
      </c>
      <c r="G62" s="143">
        <v>0.3</v>
      </c>
      <c r="H62" s="143">
        <v>16</v>
      </c>
      <c r="I62" s="143">
        <v>5.5</v>
      </c>
      <c r="J62" s="143">
        <v>0.78</v>
      </c>
      <c r="K62" s="157">
        <f t="shared" si="3"/>
        <v>107.5846153846154</v>
      </c>
      <c r="L62" s="157">
        <f t="shared" si="4"/>
        <v>19365.230769230773</v>
      </c>
      <c r="O62" s="154"/>
    </row>
    <row r="63" spans="2:15" x14ac:dyDescent="0.25">
      <c r="B63" s="154"/>
      <c r="C63" s="159">
        <f t="shared" si="0"/>
        <v>2888.8888888888887</v>
      </c>
      <c r="D63" s="242">
        <v>1300</v>
      </c>
      <c r="E63" s="242">
        <v>313.2</v>
      </c>
      <c r="F63" s="143">
        <v>4</v>
      </c>
      <c r="G63" s="143">
        <v>0.3</v>
      </c>
      <c r="H63" s="143">
        <v>16</v>
      </c>
      <c r="I63" s="143">
        <v>5.5</v>
      </c>
      <c r="J63" s="143">
        <v>0.78</v>
      </c>
      <c r="K63" s="157">
        <f t="shared" si="3"/>
        <v>107.5846153846154</v>
      </c>
      <c r="L63" s="157">
        <f t="shared" si="4"/>
        <v>33695.50153846154</v>
      </c>
      <c r="O63" s="154"/>
    </row>
    <row r="64" spans="2:15" x14ac:dyDescent="0.25">
      <c r="B64" s="154"/>
      <c r="C64" s="159">
        <f t="shared" si="0"/>
        <v>3555.5555555555557</v>
      </c>
      <c r="D64" s="242">
        <v>1600</v>
      </c>
      <c r="E64" s="242">
        <v>164.75</v>
      </c>
      <c r="F64" s="143">
        <v>4</v>
      </c>
      <c r="G64" s="143">
        <v>0.3</v>
      </c>
      <c r="H64" s="143">
        <v>16</v>
      </c>
      <c r="I64" s="143">
        <v>5.5</v>
      </c>
      <c r="J64" s="143">
        <v>0.78</v>
      </c>
      <c r="K64" s="157">
        <f t="shared" si="3"/>
        <v>107.5846153846154</v>
      </c>
      <c r="L64" s="157">
        <f t="shared" si="4"/>
        <v>17724.565384615387</v>
      </c>
      <c r="O64" s="154"/>
    </row>
    <row r="65" spans="2:15" x14ac:dyDescent="0.25">
      <c r="B65" s="154"/>
      <c r="C65" s="159">
        <f t="shared" si="0"/>
        <v>1546.6444444444444</v>
      </c>
      <c r="D65" s="242">
        <v>695.99</v>
      </c>
      <c r="E65" s="242">
        <v>99.84</v>
      </c>
      <c r="F65" s="143">
        <v>4</v>
      </c>
      <c r="G65" s="143">
        <v>0.3</v>
      </c>
      <c r="H65" s="143">
        <v>16</v>
      </c>
      <c r="I65" s="143">
        <v>5.5</v>
      </c>
      <c r="J65" s="143">
        <v>0.78</v>
      </c>
      <c r="K65" s="157">
        <f t="shared" si="3"/>
        <v>107.5846153846154</v>
      </c>
      <c r="L65" s="157">
        <f t="shared" si="4"/>
        <v>10741.248000000001</v>
      </c>
      <c r="O65" s="154"/>
    </row>
    <row r="66" spans="2:15" x14ac:dyDescent="0.25">
      <c r="B66" s="154">
        <v>39</v>
      </c>
      <c r="C66" s="159">
        <f t="shared" si="0"/>
        <v>3555.5555555555557</v>
      </c>
      <c r="D66" s="242">
        <v>1600</v>
      </c>
      <c r="E66" s="242">
        <v>120</v>
      </c>
      <c r="F66" s="143">
        <v>4</v>
      </c>
      <c r="G66" s="143">
        <v>0.3</v>
      </c>
      <c r="H66" s="143">
        <v>16</v>
      </c>
      <c r="I66" s="143">
        <v>5.5</v>
      </c>
      <c r="J66" s="143">
        <v>0.78</v>
      </c>
      <c r="K66" s="157">
        <f t="shared" ref="K66:K77" si="5">(F66-G66)*1*((H66-G$5-H$5)-I66)*L$5/J66/1000</f>
        <v>107.5846153846154</v>
      </c>
      <c r="L66" s="157">
        <f t="shared" ref="L66:L77" si="6">E66*K66</f>
        <v>12910.153846153848</v>
      </c>
      <c r="O66" s="154"/>
    </row>
    <row r="67" spans="2:15" x14ac:dyDescent="0.25">
      <c r="B67" s="154">
        <v>40</v>
      </c>
      <c r="C67" s="159">
        <f t="shared" si="0"/>
        <v>3777.7777777777778</v>
      </c>
      <c r="D67" s="242">
        <v>1700</v>
      </c>
      <c r="E67" s="242">
        <v>151</v>
      </c>
      <c r="F67" s="143">
        <v>4</v>
      </c>
      <c r="G67" s="143">
        <v>0.3</v>
      </c>
      <c r="H67" s="143">
        <v>16</v>
      </c>
      <c r="I67" s="143">
        <v>5.5</v>
      </c>
      <c r="J67" s="143">
        <v>0.78</v>
      </c>
      <c r="K67" s="157">
        <f t="shared" si="5"/>
        <v>107.5846153846154</v>
      </c>
      <c r="L67" s="157">
        <f t="shared" si="6"/>
        <v>16245.276923076926</v>
      </c>
      <c r="O67" s="154"/>
    </row>
    <row r="68" spans="2:15" x14ac:dyDescent="0.25">
      <c r="B68" s="154">
        <v>41</v>
      </c>
      <c r="C68" s="159">
        <f t="shared" si="0"/>
        <v>2166.6666666666665</v>
      </c>
      <c r="D68" s="242">
        <v>975</v>
      </c>
      <c r="E68" s="242">
        <v>75</v>
      </c>
      <c r="F68" s="143">
        <v>4</v>
      </c>
      <c r="G68" s="143">
        <v>0.3</v>
      </c>
      <c r="H68" s="143">
        <v>16</v>
      </c>
      <c r="I68" s="143">
        <v>5.5</v>
      </c>
      <c r="J68" s="143">
        <v>0.78</v>
      </c>
      <c r="K68" s="157">
        <f t="shared" si="5"/>
        <v>107.5846153846154</v>
      </c>
      <c r="L68" s="157">
        <f t="shared" si="6"/>
        <v>8068.8461538461552</v>
      </c>
      <c r="O68" s="154"/>
    </row>
    <row r="69" spans="2:15" x14ac:dyDescent="0.25">
      <c r="B69" s="154">
        <v>42</v>
      </c>
      <c r="C69" s="159">
        <f t="shared" si="0"/>
        <v>2888.8888888888887</v>
      </c>
      <c r="D69" s="242">
        <v>1300</v>
      </c>
      <c r="E69" s="242">
        <v>100</v>
      </c>
      <c r="F69" s="143">
        <v>4</v>
      </c>
      <c r="G69" s="143">
        <v>0.3</v>
      </c>
      <c r="H69" s="143">
        <v>16</v>
      </c>
      <c r="I69" s="143">
        <v>5.5</v>
      </c>
      <c r="J69" s="143">
        <v>0.78</v>
      </c>
      <c r="K69" s="157">
        <f t="shared" si="5"/>
        <v>107.5846153846154</v>
      </c>
      <c r="L69" s="157">
        <f t="shared" si="6"/>
        <v>10758.461538461541</v>
      </c>
      <c r="O69" s="154"/>
    </row>
    <row r="70" spans="2:15" x14ac:dyDescent="0.25">
      <c r="B70" s="154">
        <v>43</v>
      </c>
      <c r="C70" s="159">
        <f t="shared" si="0"/>
        <v>4800</v>
      </c>
      <c r="D70" s="242">
        <v>2160</v>
      </c>
      <c r="E70" s="242">
        <v>80</v>
      </c>
      <c r="F70" s="143">
        <v>4</v>
      </c>
      <c r="G70" s="143">
        <v>0.3</v>
      </c>
      <c r="H70" s="143">
        <v>16</v>
      </c>
      <c r="I70" s="143">
        <v>5.5</v>
      </c>
      <c r="J70" s="143">
        <v>0.78</v>
      </c>
      <c r="K70" s="157">
        <f t="shared" si="5"/>
        <v>107.5846153846154</v>
      </c>
      <c r="L70" s="157">
        <f t="shared" si="6"/>
        <v>8606.7692307692323</v>
      </c>
      <c r="O70" s="154"/>
    </row>
    <row r="71" spans="2:15" x14ac:dyDescent="0.25">
      <c r="B71" s="154">
        <v>44</v>
      </c>
      <c r="C71" s="159">
        <f t="shared" si="0"/>
        <v>1777.7777777777778</v>
      </c>
      <c r="D71" s="242">
        <v>800</v>
      </c>
      <c r="E71" s="242">
        <v>104.5</v>
      </c>
      <c r="F71" s="143">
        <v>4</v>
      </c>
      <c r="G71" s="143">
        <v>0.3</v>
      </c>
      <c r="H71" s="143">
        <v>16</v>
      </c>
      <c r="I71" s="143">
        <v>5.5</v>
      </c>
      <c r="J71" s="143">
        <v>0.78</v>
      </c>
      <c r="K71" s="157">
        <f t="shared" si="5"/>
        <v>107.5846153846154</v>
      </c>
      <c r="L71" s="157">
        <f t="shared" si="6"/>
        <v>11242.59230769231</v>
      </c>
      <c r="O71" s="154"/>
    </row>
    <row r="72" spans="2:15" x14ac:dyDescent="0.25">
      <c r="B72" s="154">
        <v>45</v>
      </c>
      <c r="C72" s="159">
        <f t="shared" si="0"/>
        <v>843.55555555555554</v>
      </c>
      <c r="D72" s="242">
        <v>379.6</v>
      </c>
      <c r="E72" s="242">
        <v>29.2</v>
      </c>
      <c r="F72" s="143">
        <v>4</v>
      </c>
      <c r="G72" s="143">
        <v>0.3</v>
      </c>
      <c r="H72" s="143">
        <v>16</v>
      </c>
      <c r="I72" s="143">
        <v>5.5</v>
      </c>
      <c r="J72" s="143">
        <v>0.78</v>
      </c>
      <c r="K72" s="157">
        <f t="shared" si="5"/>
        <v>107.5846153846154</v>
      </c>
      <c r="L72" s="157">
        <f t="shared" si="6"/>
        <v>3141.4707692307697</v>
      </c>
      <c r="O72" s="154"/>
    </row>
    <row r="73" spans="2:15" x14ac:dyDescent="0.25">
      <c r="B73" s="154"/>
      <c r="C73" s="159">
        <f t="shared" si="0"/>
        <v>1777.7777777777778</v>
      </c>
      <c r="D73" s="242">
        <v>800</v>
      </c>
      <c r="E73" s="241">
        <v>110</v>
      </c>
      <c r="F73" s="143">
        <v>4</v>
      </c>
      <c r="G73" s="143">
        <v>0.3</v>
      </c>
      <c r="H73" s="143">
        <v>16</v>
      </c>
      <c r="I73" s="143">
        <v>5.5</v>
      </c>
      <c r="J73" s="143">
        <v>0.78</v>
      </c>
      <c r="K73" s="157">
        <f t="shared" si="5"/>
        <v>107.5846153846154</v>
      </c>
      <c r="L73" s="157">
        <f t="shared" si="6"/>
        <v>11834.307692307695</v>
      </c>
      <c r="O73" s="154"/>
    </row>
    <row r="74" spans="2:15" x14ac:dyDescent="0.25">
      <c r="B74" s="154"/>
      <c r="C74" s="159">
        <f t="shared" si="0"/>
        <v>3555.5555555555557</v>
      </c>
      <c r="D74" s="242">
        <v>1600</v>
      </c>
      <c r="E74" s="241">
        <v>130.5</v>
      </c>
      <c r="F74" s="143">
        <v>4</v>
      </c>
      <c r="G74" s="143">
        <v>0.3</v>
      </c>
      <c r="H74" s="143">
        <v>16</v>
      </c>
      <c r="I74" s="143">
        <v>5.5</v>
      </c>
      <c r="J74" s="143">
        <v>0.78</v>
      </c>
      <c r="K74" s="157">
        <f t="shared" si="5"/>
        <v>107.5846153846154</v>
      </c>
      <c r="L74" s="157">
        <f t="shared" si="6"/>
        <v>14039.792307692311</v>
      </c>
      <c r="O74" s="154"/>
    </row>
    <row r="75" spans="2:15" x14ac:dyDescent="0.25">
      <c r="B75" s="154"/>
      <c r="C75" s="159">
        <f t="shared" si="0"/>
        <v>3774.3333333333335</v>
      </c>
      <c r="D75" s="242">
        <v>1698.45</v>
      </c>
      <c r="E75" s="241">
        <v>130.65</v>
      </c>
      <c r="F75" s="143">
        <v>4</v>
      </c>
      <c r="G75" s="143">
        <v>0.3</v>
      </c>
      <c r="H75" s="143">
        <v>16</v>
      </c>
      <c r="I75" s="143">
        <v>5.5</v>
      </c>
      <c r="J75" s="143">
        <v>0.78</v>
      </c>
      <c r="K75" s="157">
        <f t="shared" si="5"/>
        <v>107.5846153846154</v>
      </c>
      <c r="L75" s="157">
        <f t="shared" si="6"/>
        <v>14055.930000000004</v>
      </c>
      <c r="O75" s="154"/>
    </row>
    <row r="76" spans="2:15" x14ac:dyDescent="0.25">
      <c r="B76" s="154"/>
      <c r="C76" s="159">
        <f t="shared" si="0"/>
        <v>2077.7777777777778</v>
      </c>
      <c r="D76" s="242">
        <v>935</v>
      </c>
      <c r="E76" s="241">
        <v>85</v>
      </c>
      <c r="F76" s="143">
        <v>4</v>
      </c>
      <c r="G76" s="143">
        <v>0.3</v>
      </c>
      <c r="H76" s="143">
        <v>16</v>
      </c>
      <c r="I76" s="143">
        <v>5.5</v>
      </c>
      <c r="J76" s="143">
        <v>0.78</v>
      </c>
      <c r="K76" s="157">
        <f t="shared" si="5"/>
        <v>107.5846153846154</v>
      </c>
      <c r="L76" s="157">
        <f t="shared" si="6"/>
        <v>9144.6923076923085</v>
      </c>
      <c r="O76" s="154"/>
    </row>
    <row r="77" spans="2:15" x14ac:dyDescent="0.25">
      <c r="B77" s="154"/>
      <c r="C77" s="159">
        <f t="shared" si="0"/>
        <v>1491.1111111111111</v>
      </c>
      <c r="D77" s="242">
        <v>671</v>
      </c>
      <c r="E77" s="241">
        <v>61</v>
      </c>
      <c r="F77" s="143">
        <v>4</v>
      </c>
      <c r="G77" s="143">
        <v>0.3</v>
      </c>
      <c r="H77" s="143">
        <v>16</v>
      </c>
      <c r="I77" s="143">
        <v>5.5</v>
      </c>
      <c r="J77" s="143">
        <v>0.78</v>
      </c>
      <c r="K77" s="157">
        <f t="shared" si="5"/>
        <v>107.5846153846154</v>
      </c>
      <c r="L77" s="157">
        <f t="shared" si="6"/>
        <v>6562.6615384615397</v>
      </c>
      <c r="O77" s="154"/>
    </row>
    <row r="78" spans="2:15" x14ac:dyDescent="0.25">
      <c r="B78" s="154"/>
      <c r="C78" s="159">
        <f t="shared" si="0"/>
        <v>591.99999999999989</v>
      </c>
      <c r="D78" s="242">
        <v>266.39999999999998</v>
      </c>
      <c r="E78" s="241">
        <v>66.599999999999994</v>
      </c>
      <c r="F78" s="143">
        <v>4</v>
      </c>
      <c r="G78" s="143">
        <v>0.3</v>
      </c>
      <c r="H78" s="143">
        <v>16</v>
      </c>
      <c r="I78" s="143">
        <v>5.5</v>
      </c>
      <c r="J78" s="143">
        <v>0.78</v>
      </c>
      <c r="K78" s="157">
        <f t="shared" ref="K78:K141" si="7">(F78-G78)*1*((H78-G$5-H$5)-I78)*L$5/J78/1000</f>
        <v>107.5846153846154</v>
      </c>
      <c r="L78" s="157">
        <f t="shared" ref="L78:L141" si="8">E78*K78</f>
        <v>7165.1353846153852</v>
      </c>
      <c r="O78" s="154"/>
    </row>
    <row r="79" spans="2:15" x14ac:dyDescent="0.25">
      <c r="B79" s="154"/>
      <c r="C79" s="159">
        <f t="shared" si="0"/>
        <v>896</v>
      </c>
      <c r="D79" s="242">
        <v>403.2</v>
      </c>
      <c r="E79" s="241">
        <v>100.8</v>
      </c>
      <c r="F79" s="143">
        <v>4</v>
      </c>
      <c r="G79" s="143">
        <v>0.3</v>
      </c>
      <c r="H79" s="143">
        <v>16</v>
      </c>
      <c r="I79" s="143">
        <v>5.5</v>
      </c>
      <c r="J79" s="143">
        <v>0.78</v>
      </c>
      <c r="K79" s="157">
        <f t="shared" si="7"/>
        <v>107.5846153846154</v>
      </c>
      <c r="L79" s="157">
        <f t="shared" si="8"/>
        <v>10844.529230769233</v>
      </c>
      <c r="O79" s="154"/>
    </row>
    <row r="80" spans="2:15" x14ac:dyDescent="0.25">
      <c r="B80" s="154"/>
      <c r="C80" s="159">
        <f t="shared" si="0"/>
        <v>240</v>
      </c>
      <c r="D80" s="242">
        <v>108</v>
      </c>
      <c r="E80" s="241">
        <v>21.6</v>
      </c>
      <c r="F80" s="143">
        <v>4</v>
      </c>
      <c r="G80" s="143">
        <v>0.3</v>
      </c>
      <c r="H80" s="143">
        <v>16</v>
      </c>
      <c r="I80" s="143">
        <v>5.5</v>
      </c>
      <c r="J80" s="143">
        <v>0.78</v>
      </c>
      <c r="K80" s="157">
        <f t="shared" si="7"/>
        <v>107.5846153846154</v>
      </c>
      <c r="L80" s="157">
        <f t="shared" si="8"/>
        <v>2323.8276923076928</v>
      </c>
      <c r="O80" s="154"/>
    </row>
    <row r="81" spans="2:15" x14ac:dyDescent="0.25">
      <c r="B81" s="154"/>
      <c r="C81" s="159">
        <f t="shared" si="0"/>
        <v>140</v>
      </c>
      <c r="D81" s="242">
        <v>63</v>
      </c>
      <c r="E81" s="241">
        <v>12.6</v>
      </c>
      <c r="F81" s="143">
        <v>4</v>
      </c>
      <c r="G81" s="143">
        <v>0.3</v>
      </c>
      <c r="H81" s="143">
        <v>16</v>
      </c>
      <c r="I81" s="143">
        <v>5.5</v>
      </c>
      <c r="J81" s="143">
        <v>0.78</v>
      </c>
      <c r="K81" s="157">
        <f t="shared" si="7"/>
        <v>107.5846153846154</v>
      </c>
      <c r="L81" s="157">
        <f t="shared" si="8"/>
        <v>1355.5661538461541</v>
      </c>
      <c r="O81" s="154"/>
    </row>
    <row r="82" spans="2:15" x14ac:dyDescent="0.25">
      <c r="B82" s="154"/>
      <c r="C82" s="159">
        <f t="shared" si="0"/>
        <v>2888.8888888888887</v>
      </c>
      <c r="D82" s="242">
        <v>1300</v>
      </c>
      <c r="E82" s="241">
        <v>100</v>
      </c>
      <c r="F82" s="143">
        <v>4</v>
      </c>
      <c r="G82" s="143">
        <v>0.3</v>
      </c>
      <c r="H82" s="143">
        <v>16</v>
      </c>
      <c r="I82" s="143">
        <v>5.5</v>
      </c>
      <c r="J82" s="143">
        <v>0.78</v>
      </c>
      <c r="K82" s="157">
        <f t="shared" si="7"/>
        <v>107.5846153846154</v>
      </c>
      <c r="L82" s="157">
        <f t="shared" si="8"/>
        <v>10758.461538461541</v>
      </c>
      <c r="O82" s="154"/>
    </row>
    <row r="83" spans="2:15" x14ac:dyDescent="0.25">
      <c r="B83" s="154"/>
      <c r="C83" s="159">
        <f t="shared" si="0"/>
        <v>185.55555555555554</v>
      </c>
      <c r="D83" s="242">
        <v>83.5</v>
      </c>
      <c r="E83" s="241">
        <v>8.35</v>
      </c>
      <c r="F83" s="143">
        <v>4</v>
      </c>
      <c r="G83" s="143">
        <v>0.3</v>
      </c>
      <c r="H83" s="143">
        <v>16</v>
      </c>
      <c r="I83" s="143">
        <v>5.5</v>
      </c>
      <c r="J83" s="143">
        <v>0.78</v>
      </c>
      <c r="K83" s="157">
        <f t="shared" si="7"/>
        <v>107.5846153846154</v>
      </c>
      <c r="L83" s="157">
        <f t="shared" si="8"/>
        <v>898.33153846153857</v>
      </c>
      <c r="O83" s="154"/>
    </row>
    <row r="84" spans="2:15" x14ac:dyDescent="0.25">
      <c r="B84" s="154"/>
      <c r="C84" s="159">
        <f t="shared" si="0"/>
        <v>186.66666666666666</v>
      </c>
      <c r="D84" s="242">
        <v>84</v>
      </c>
      <c r="E84" s="241">
        <v>10.5</v>
      </c>
      <c r="F84" s="143">
        <v>4</v>
      </c>
      <c r="G84" s="143">
        <v>0.3</v>
      </c>
      <c r="H84" s="143">
        <v>16</v>
      </c>
      <c r="I84" s="143">
        <v>5.5</v>
      </c>
      <c r="J84" s="143">
        <v>0.78</v>
      </c>
      <c r="K84" s="157">
        <f t="shared" si="7"/>
        <v>107.5846153846154</v>
      </c>
      <c r="L84" s="157">
        <f t="shared" si="8"/>
        <v>1129.6384615384618</v>
      </c>
      <c r="O84" s="154"/>
    </row>
    <row r="85" spans="2:15" x14ac:dyDescent="0.25">
      <c r="B85" s="154"/>
      <c r="C85" s="159">
        <f t="shared" si="0"/>
        <v>2588.4444444444443</v>
      </c>
      <c r="D85" s="242">
        <v>1164.8</v>
      </c>
      <c r="E85" s="241">
        <v>89.6</v>
      </c>
      <c r="F85" s="143">
        <v>4</v>
      </c>
      <c r="G85" s="143">
        <v>0.3</v>
      </c>
      <c r="H85" s="143">
        <v>16</v>
      </c>
      <c r="I85" s="143">
        <v>5.5</v>
      </c>
      <c r="J85" s="143">
        <v>0.78</v>
      </c>
      <c r="K85" s="157">
        <f t="shared" si="7"/>
        <v>107.5846153846154</v>
      </c>
      <c r="L85" s="157">
        <f t="shared" si="8"/>
        <v>9639.5815384615398</v>
      </c>
      <c r="O85" s="154"/>
    </row>
    <row r="86" spans="2:15" x14ac:dyDescent="0.25">
      <c r="B86" s="154"/>
      <c r="C86" s="159">
        <f t="shared" si="0"/>
        <v>3904.911111111111</v>
      </c>
      <c r="D86" s="242">
        <v>1757.21</v>
      </c>
      <c r="E86" s="241">
        <v>135.17000000000002</v>
      </c>
      <c r="F86" s="143">
        <v>4</v>
      </c>
      <c r="G86" s="143">
        <v>0.3</v>
      </c>
      <c r="H86" s="143">
        <v>16</v>
      </c>
      <c r="I86" s="143">
        <v>5.5</v>
      </c>
      <c r="J86" s="143">
        <v>0.78</v>
      </c>
      <c r="K86" s="157">
        <f t="shared" si="7"/>
        <v>107.5846153846154</v>
      </c>
      <c r="L86" s="157">
        <f t="shared" si="8"/>
        <v>14542.212461538466</v>
      </c>
      <c r="O86" s="154"/>
    </row>
    <row r="87" spans="2:15" x14ac:dyDescent="0.25">
      <c r="B87" s="154"/>
      <c r="C87" s="159">
        <f t="shared" si="0"/>
        <v>2133.3333333333335</v>
      </c>
      <c r="D87" s="242">
        <v>960</v>
      </c>
      <c r="E87" s="241">
        <v>60</v>
      </c>
      <c r="F87" s="143">
        <v>4</v>
      </c>
      <c r="G87" s="143">
        <v>0.3</v>
      </c>
      <c r="H87" s="143">
        <v>16</v>
      </c>
      <c r="I87" s="143">
        <v>5.5</v>
      </c>
      <c r="J87" s="143">
        <v>0.78</v>
      </c>
      <c r="K87" s="157">
        <f t="shared" si="7"/>
        <v>107.5846153846154</v>
      </c>
      <c r="L87" s="157">
        <f t="shared" si="8"/>
        <v>6455.0769230769238</v>
      </c>
      <c r="O87" s="154"/>
    </row>
    <row r="88" spans="2:15" x14ac:dyDescent="0.25">
      <c r="B88" s="154"/>
      <c r="C88" s="159">
        <f t="shared" si="0"/>
        <v>1600</v>
      </c>
      <c r="D88" s="242">
        <v>720</v>
      </c>
      <c r="E88" s="241">
        <v>90</v>
      </c>
      <c r="F88" s="143">
        <v>4</v>
      </c>
      <c r="G88" s="143">
        <v>0.3</v>
      </c>
      <c r="H88" s="143">
        <v>16</v>
      </c>
      <c r="I88" s="143">
        <v>5.5</v>
      </c>
      <c r="J88" s="143">
        <v>0.78</v>
      </c>
      <c r="K88" s="157">
        <f t="shared" si="7"/>
        <v>107.5846153846154</v>
      </c>
      <c r="L88" s="157">
        <f t="shared" si="8"/>
        <v>9682.6153846153866</v>
      </c>
      <c r="O88" s="154"/>
    </row>
    <row r="89" spans="2:15" x14ac:dyDescent="0.25">
      <c r="B89" s="154"/>
      <c r="C89" s="159">
        <f t="shared" si="0"/>
        <v>2311.1111111111109</v>
      </c>
      <c r="D89" s="242">
        <v>1040</v>
      </c>
      <c r="E89" s="241">
        <v>130</v>
      </c>
      <c r="F89" s="143">
        <v>4</v>
      </c>
      <c r="G89" s="143">
        <v>0.3</v>
      </c>
      <c r="H89" s="143">
        <v>16</v>
      </c>
      <c r="I89" s="143">
        <v>5.5</v>
      </c>
      <c r="J89" s="143">
        <v>0.78</v>
      </c>
      <c r="K89" s="157">
        <f t="shared" si="7"/>
        <v>107.5846153846154</v>
      </c>
      <c r="L89" s="157">
        <f t="shared" si="8"/>
        <v>13986.000000000002</v>
      </c>
      <c r="O89" s="154"/>
    </row>
    <row r="90" spans="2:15" x14ac:dyDescent="0.25">
      <c r="B90" s="154"/>
      <c r="C90" s="159">
        <f t="shared" si="0"/>
        <v>1386.6666666666667</v>
      </c>
      <c r="D90" s="242">
        <v>624</v>
      </c>
      <c r="E90" s="241">
        <v>78</v>
      </c>
      <c r="F90" s="143">
        <v>4</v>
      </c>
      <c r="G90" s="143">
        <v>0.3</v>
      </c>
      <c r="H90" s="143">
        <v>16</v>
      </c>
      <c r="I90" s="143">
        <v>5.5</v>
      </c>
      <c r="J90" s="143">
        <v>0.78</v>
      </c>
      <c r="K90" s="157">
        <f t="shared" si="7"/>
        <v>107.5846153846154</v>
      </c>
      <c r="L90" s="157">
        <f t="shared" si="8"/>
        <v>8391.6000000000022</v>
      </c>
      <c r="O90" s="154"/>
    </row>
    <row r="91" spans="2:15" x14ac:dyDescent="0.25">
      <c r="B91" s="154"/>
      <c r="C91" s="159">
        <f t="shared" si="0"/>
        <v>5310.0444444444447</v>
      </c>
      <c r="D91" s="242">
        <v>2389.52</v>
      </c>
      <c r="E91" s="241">
        <v>298.69</v>
      </c>
      <c r="F91" s="143">
        <v>4</v>
      </c>
      <c r="G91" s="143">
        <v>0.3</v>
      </c>
      <c r="H91" s="143">
        <v>16</v>
      </c>
      <c r="I91" s="143">
        <v>5.5</v>
      </c>
      <c r="J91" s="143">
        <v>0.78</v>
      </c>
      <c r="K91" s="157">
        <f t="shared" si="7"/>
        <v>107.5846153846154</v>
      </c>
      <c r="L91" s="157">
        <f t="shared" si="8"/>
        <v>32134.448769230774</v>
      </c>
      <c r="O91" s="154"/>
    </row>
    <row r="92" spans="2:15" x14ac:dyDescent="0.25">
      <c r="B92" s="154"/>
      <c r="C92" s="159">
        <f t="shared" si="0"/>
        <v>3271.1111111111109</v>
      </c>
      <c r="D92" s="242">
        <v>1472</v>
      </c>
      <c r="E92" s="241">
        <v>184</v>
      </c>
      <c r="F92" s="143">
        <v>4</v>
      </c>
      <c r="G92" s="143">
        <v>0.3</v>
      </c>
      <c r="H92" s="143">
        <v>16</v>
      </c>
      <c r="I92" s="143">
        <v>5.5</v>
      </c>
      <c r="J92" s="143">
        <v>0.78</v>
      </c>
      <c r="K92" s="157">
        <f t="shared" si="7"/>
        <v>107.5846153846154</v>
      </c>
      <c r="L92" s="157">
        <f t="shared" si="8"/>
        <v>19795.569230769233</v>
      </c>
      <c r="O92" s="154"/>
    </row>
    <row r="93" spans="2:15" x14ac:dyDescent="0.25">
      <c r="B93" s="154"/>
      <c r="C93" s="159">
        <f t="shared" si="0"/>
        <v>1596.4444444444443</v>
      </c>
      <c r="D93" s="242">
        <v>718.4</v>
      </c>
      <c r="E93" s="241">
        <v>89.8</v>
      </c>
      <c r="F93" s="143">
        <v>4</v>
      </c>
      <c r="G93" s="143">
        <v>0.3</v>
      </c>
      <c r="H93" s="143">
        <v>16</v>
      </c>
      <c r="I93" s="143">
        <v>5.5</v>
      </c>
      <c r="J93" s="143">
        <v>0.78</v>
      </c>
      <c r="K93" s="157">
        <f t="shared" si="7"/>
        <v>107.5846153846154</v>
      </c>
      <c r="L93" s="157">
        <f t="shared" si="8"/>
        <v>9661.0984615384623</v>
      </c>
      <c r="O93" s="154"/>
    </row>
    <row r="94" spans="2:15" x14ac:dyDescent="0.25">
      <c r="B94" s="154"/>
      <c r="C94" s="159">
        <f t="shared" si="0"/>
        <v>892.8</v>
      </c>
      <c r="D94" s="242">
        <v>401.76</v>
      </c>
      <c r="E94" s="241">
        <v>100.44</v>
      </c>
      <c r="F94" s="143">
        <v>4</v>
      </c>
      <c r="G94" s="143">
        <v>0.3</v>
      </c>
      <c r="H94" s="143">
        <v>16</v>
      </c>
      <c r="I94" s="143">
        <v>5.5</v>
      </c>
      <c r="J94" s="143">
        <v>0.78</v>
      </c>
      <c r="K94" s="157">
        <f t="shared" si="7"/>
        <v>107.5846153846154</v>
      </c>
      <c r="L94" s="157">
        <f t="shared" si="8"/>
        <v>10805.798769230771</v>
      </c>
      <c r="O94" s="154"/>
    </row>
    <row r="95" spans="2:15" x14ac:dyDescent="0.25">
      <c r="B95" s="154"/>
      <c r="C95" s="159">
        <f t="shared" si="0"/>
        <v>2222.2222222222222</v>
      </c>
      <c r="D95" s="242">
        <v>1000</v>
      </c>
      <c r="E95" s="241">
        <v>162.16</v>
      </c>
      <c r="F95" s="143">
        <v>4</v>
      </c>
      <c r="G95" s="143">
        <v>0.3</v>
      </c>
      <c r="H95" s="143">
        <v>16</v>
      </c>
      <c r="I95" s="143">
        <v>5.5</v>
      </c>
      <c r="J95" s="143">
        <v>0.78</v>
      </c>
      <c r="K95" s="157">
        <f t="shared" si="7"/>
        <v>107.5846153846154</v>
      </c>
      <c r="L95" s="157">
        <f t="shared" si="8"/>
        <v>17445.921230769232</v>
      </c>
      <c r="O95" s="154"/>
    </row>
    <row r="96" spans="2:15" x14ac:dyDescent="0.25">
      <c r="B96" s="154"/>
      <c r="C96" s="159">
        <f t="shared" si="0"/>
        <v>3291.4</v>
      </c>
      <c r="D96" s="242">
        <v>1481.13</v>
      </c>
      <c r="E96" s="241">
        <v>92</v>
      </c>
      <c r="F96" s="143">
        <v>4</v>
      </c>
      <c r="G96" s="143">
        <v>0.3</v>
      </c>
      <c r="H96" s="143">
        <v>16</v>
      </c>
      <c r="I96" s="143">
        <v>5.5</v>
      </c>
      <c r="J96" s="143">
        <v>0.78</v>
      </c>
      <c r="K96" s="157">
        <f t="shared" si="7"/>
        <v>107.5846153846154</v>
      </c>
      <c r="L96" s="157">
        <f t="shared" si="8"/>
        <v>9897.7846153846167</v>
      </c>
      <c r="O96" s="154"/>
    </row>
    <row r="97" spans="2:15" x14ac:dyDescent="0.25">
      <c r="B97" s="154"/>
      <c r="C97" s="159">
        <f t="shared" si="0"/>
        <v>2222.2222222222222</v>
      </c>
      <c r="D97" s="242">
        <v>1000</v>
      </c>
      <c r="E97" s="241">
        <v>119</v>
      </c>
      <c r="F97" s="143">
        <v>4</v>
      </c>
      <c r="G97" s="143">
        <v>0.3</v>
      </c>
      <c r="H97" s="143">
        <v>16</v>
      </c>
      <c r="I97" s="143">
        <v>5.5</v>
      </c>
      <c r="J97" s="143">
        <v>0.78</v>
      </c>
      <c r="K97" s="157">
        <f t="shared" si="7"/>
        <v>107.5846153846154</v>
      </c>
      <c r="L97" s="157">
        <f t="shared" si="8"/>
        <v>12802.569230769233</v>
      </c>
      <c r="O97" s="154"/>
    </row>
    <row r="98" spans="2:15" x14ac:dyDescent="0.25">
      <c r="B98" s="154"/>
      <c r="C98" s="159">
        <f t="shared" si="0"/>
        <v>1333.3333333333333</v>
      </c>
      <c r="D98" s="242">
        <v>600</v>
      </c>
      <c r="E98" s="241">
        <v>120</v>
      </c>
      <c r="F98" s="143">
        <v>4</v>
      </c>
      <c r="G98" s="143">
        <v>0.3</v>
      </c>
      <c r="H98" s="143">
        <v>16</v>
      </c>
      <c r="I98" s="143">
        <v>5.5</v>
      </c>
      <c r="J98" s="143">
        <v>0.78</v>
      </c>
      <c r="K98" s="157">
        <f t="shared" si="7"/>
        <v>107.5846153846154</v>
      </c>
      <c r="L98" s="157">
        <f t="shared" si="8"/>
        <v>12910.153846153848</v>
      </c>
      <c r="O98" s="154"/>
    </row>
    <row r="99" spans="2:15" x14ac:dyDescent="0.25">
      <c r="B99" s="154"/>
      <c r="C99" s="159">
        <f t="shared" si="0"/>
        <v>440.99999999999994</v>
      </c>
      <c r="D99" s="242">
        <v>198.45</v>
      </c>
      <c r="E99" s="241">
        <v>40.5</v>
      </c>
      <c r="F99" s="143">
        <v>4</v>
      </c>
      <c r="G99" s="143">
        <v>0.3</v>
      </c>
      <c r="H99" s="143">
        <v>16</v>
      </c>
      <c r="I99" s="143">
        <v>5.5</v>
      </c>
      <c r="J99" s="143">
        <v>0.78</v>
      </c>
      <c r="K99" s="157">
        <f t="shared" si="7"/>
        <v>107.5846153846154</v>
      </c>
      <c r="L99" s="157">
        <f t="shared" si="8"/>
        <v>4357.1769230769241</v>
      </c>
      <c r="O99" s="154"/>
    </row>
    <row r="100" spans="2:15" x14ac:dyDescent="0.25">
      <c r="B100" s="154"/>
      <c r="C100" s="159">
        <f t="shared" si="0"/>
        <v>800</v>
      </c>
      <c r="D100" s="242">
        <v>360</v>
      </c>
      <c r="E100" s="241">
        <v>45</v>
      </c>
      <c r="F100" s="143">
        <v>4</v>
      </c>
      <c r="G100" s="143">
        <v>0.3</v>
      </c>
      <c r="H100" s="143">
        <v>16</v>
      </c>
      <c r="I100" s="143">
        <v>5.5</v>
      </c>
      <c r="J100" s="143">
        <v>0.78</v>
      </c>
      <c r="K100" s="157">
        <f t="shared" si="7"/>
        <v>107.5846153846154</v>
      </c>
      <c r="L100" s="157">
        <f t="shared" si="8"/>
        <v>4841.3076923076933</v>
      </c>
      <c r="O100" s="154"/>
    </row>
    <row r="101" spans="2:15" x14ac:dyDescent="0.25">
      <c r="B101" s="154"/>
      <c r="C101" s="159">
        <f t="shared" si="0"/>
        <v>1777.7777777777778</v>
      </c>
      <c r="D101" s="242">
        <v>800</v>
      </c>
      <c r="E101" s="241">
        <v>132.08000000000001</v>
      </c>
      <c r="F101" s="143">
        <v>4</v>
      </c>
      <c r="G101" s="143">
        <v>0.3</v>
      </c>
      <c r="H101" s="143">
        <v>16</v>
      </c>
      <c r="I101" s="143">
        <v>5.5</v>
      </c>
      <c r="J101" s="143">
        <v>0.78</v>
      </c>
      <c r="K101" s="157">
        <f t="shared" si="7"/>
        <v>107.5846153846154</v>
      </c>
      <c r="L101" s="157">
        <f t="shared" si="8"/>
        <v>14209.776000000003</v>
      </c>
      <c r="O101" s="154"/>
    </row>
    <row r="102" spans="2:15" x14ac:dyDescent="0.25">
      <c r="B102" s="154"/>
      <c r="C102" s="159">
        <f t="shared" si="0"/>
        <v>1155.622222222222</v>
      </c>
      <c r="D102" s="242">
        <v>520.03</v>
      </c>
      <c r="E102" s="241">
        <v>74.290000000000006</v>
      </c>
      <c r="F102" s="143">
        <v>4</v>
      </c>
      <c r="G102" s="143">
        <v>0.3</v>
      </c>
      <c r="H102" s="143">
        <v>16</v>
      </c>
      <c r="I102" s="143">
        <v>5.5</v>
      </c>
      <c r="J102" s="143">
        <v>0.78</v>
      </c>
      <c r="K102" s="157">
        <f t="shared" si="7"/>
        <v>107.5846153846154</v>
      </c>
      <c r="L102" s="157">
        <f t="shared" si="8"/>
        <v>7992.4610769230794</v>
      </c>
      <c r="O102" s="154"/>
    </row>
    <row r="103" spans="2:15" x14ac:dyDescent="0.25">
      <c r="B103" s="154"/>
      <c r="C103" s="159">
        <f t="shared" si="0"/>
        <v>2222.2222222222222</v>
      </c>
      <c r="D103" s="242">
        <v>1000</v>
      </c>
      <c r="E103" s="241">
        <v>100</v>
      </c>
      <c r="F103" s="143">
        <v>4</v>
      </c>
      <c r="G103" s="143">
        <v>0.3</v>
      </c>
      <c r="H103" s="143">
        <v>16</v>
      </c>
      <c r="I103" s="143">
        <v>5.5</v>
      </c>
      <c r="J103" s="143">
        <v>0.78</v>
      </c>
      <c r="K103" s="157">
        <f t="shared" si="7"/>
        <v>107.5846153846154</v>
      </c>
      <c r="L103" s="157">
        <f t="shared" si="8"/>
        <v>10758.461538461541</v>
      </c>
      <c r="O103" s="154"/>
    </row>
    <row r="104" spans="2:15" x14ac:dyDescent="0.25">
      <c r="B104" s="154"/>
      <c r="C104" s="159">
        <f t="shared" si="0"/>
        <v>1600</v>
      </c>
      <c r="D104" s="242">
        <v>720</v>
      </c>
      <c r="E104" s="241">
        <v>72</v>
      </c>
      <c r="F104" s="143">
        <v>4</v>
      </c>
      <c r="G104" s="143">
        <v>0.3</v>
      </c>
      <c r="H104" s="143">
        <v>16</v>
      </c>
      <c r="I104" s="143">
        <v>5.5</v>
      </c>
      <c r="J104" s="143">
        <v>0.78</v>
      </c>
      <c r="K104" s="157">
        <f t="shared" si="7"/>
        <v>107.5846153846154</v>
      </c>
      <c r="L104" s="157">
        <f t="shared" si="8"/>
        <v>7746.0923076923091</v>
      </c>
      <c r="O104" s="154"/>
    </row>
    <row r="105" spans="2:15" x14ac:dyDescent="0.25">
      <c r="B105" s="154"/>
      <c r="C105" s="159">
        <f t="shared" si="0"/>
        <v>409.59999999999997</v>
      </c>
      <c r="D105" s="242">
        <v>184.32</v>
      </c>
      <c r="E105" s="241">
        <v>23.04</v>
      </c>
      <c r="F105" s="143">
        <v>4</v>
      </c>
      <c r="G105" s="143">
        <v>0.3</v>
      </c>
      <c r="H105" s="143">
        <v>16</v>
      </c>
      <c r="I105" s="143">
        <v>5.5</v>
      </c>
      <c r="J105" s="143">
        <v>0.78</v>
      </c>
      <c r="K105" s="157">
        <f t="shared" si="7"/>
        <v>107.5846153846154</v>
      </c>
      <c r="L105" s="157">
        <f t="shared" si="8"/>
        <v>2478.749538461539</v>
      </c>
      <c r="O105" s="154"/>
    </row>
    <row r="106" spans="2:15" x14ac:dyDescent="0.25">
      <c r="B106" s="154"/>
      <c r="C106" s="159">
        <f t="shared" si="0"/>
        <v>2222.2222222222222</v>
      </c>
      <c r="D106" s="242">
        <v>1000</v>
      </c>
      <c r="E106" s="241">
        <v>100</v>
      </c>
      <c r="F106" s="143">
        <v>4</v>
      </c>
      <c r="G106" s="143">
        <v>0.3</v>
      </c>
      <c r="H106" s="143">
        <v>16</v>
      </c>
      <c r="I106" s="143">
        <v>5.5</v>
      </c>
      <c r="J106" s="143">
        <v>0.78</v>
      </c>
      <c r="K106" s="157">
        <f t="shared" si="7"/>
        <v>107.5846153846154</v>
      </c>
      <c r="L106" s="157">
        <f t="shared" si="8"/>
        <v>10758.461538461541</v>
      </c>
      <c r="O106" s="154"/>
    </row>
    <row r="107" spans="2:15" x14ac:dyDescent="0.25">
      <c r="B107" s="154"/>
      <c r="C107" s="159">
        <f t="shared" si="0"/>
        <v>3555.5555555555557</v>
      </c>
      <c r="D107" s="242">
        <v>1600</v>
      </c>
      <c r="E107" s="241">
        <v>140.30000000000001</v>
      </c>
      <c r="F107" s="143">
        <v>4</v>
      </c>
      <c r="G107" s="143">
        <v>0.3</v>
      </c>
      <c r="H107" s="143">
        <v>16</v>
      </c>
      <c r="I107" s="143">
        <v>5.5</v>
      </c>
      <c r="J107" s="143">
        <v>0.78</v>
      </c>
      <c r="K107" s="157">
        <f t="shared" si="7"/>
        <v>107.5846153846154</v>
      </c>
      <c r="L107" s="157">
        <f t="shared" si="8"/>
        <v>15094.121538461543</v>
      </c>
      <c r="O107" s="154"/>
    </row>
    <row r="108" spans="2:15" x14ac:dyDescent="0.25">
      <c r="B108" s="154"/>
      <c r="C108" s="159">
        <f t="shared" si="0"/>
        <v>2888.8888888888887</v>
      </c>
      <c r="D108" s="242">
        <v>1300</v>
      </c>
      <c r="E108" s="241">
        <v>100</v>
      </c>
      <c r="F108" s="143">
        <v>4</v>
      </c>
      <c r="G108" s="143">
        <v>0.3</v>
      </c>
      <c r="H108" s="143">
        <v>16</v>
      </c>
      <c r="I108" s="143">
        <v>5.5</v>
      </c>
      <c r="J108" s="143">
        <v>0.78</v>
      </c>
      <c r="K108" s="157">
        <f t="shared" si="7"/>
        <v>107.5846153846154</v>
      </c>
      <c r="L108" s="157">
        <f t="shared" si="8"/>
        <v>10758.461538461541</v>
      </c>
      <c r="O108" s="154"/>
    </row>
    <row r="109" spans="2:15" x14ac:dyDescent="0.25">
      <c r="B109" s="154"/>
      <c r="C109" s="159">
        <f t="shared" si="0"/>
        <v>1777.7777777777778</v>
      </c>
      <c r="D109" s="242">
        <v>800</v>
      </c>
      <c r="E109" s="241">
        <v>200</v>
      </c>
      <c r="F109" s="143">
        <v>4</v>
      </c>
      <c r="G109" s="143">
        <v>0.3</v>
      </c>
      <c r="H109" s="143">
        <v>16</v>
      </c>
      <c r="I109" s="143">
        <v>5.5</v>
      </c>
      <c r="J109" s="143">
        <v>0.78</v>
      </c>
      <c r="K109" s="157">
        <f t="shared" si="7"/>
        <v>107.5846153846154</v>
      </c>
      <c r="L109" s="157">
        <f t="shared" si="8"/>
        <v>21516.923076923082</v>
      </c>
      <c r="O109" s="154"/>
    </row>
    <row r="110" spans="2:15" x14ac:dyDescent="0.25">
      <c r="B110" s="154"/>
      <c r="C110" s="159">
        <f t="shared" si="0"/>
        <v>1777.7777777777778</v>
      </c>
      <c r="D110" s="242">
        <v>800</v>
      </c>
      <c r="E110" s="241">
        <v>100</v>
      </c>
      <c r="F110" s="143">
        <v>4</v>
      </c>
      <c r="G110" s="143">
        <v>0.3</v>
      </c>
      <c r="H110" s="143">
        <v>16</v>
      </c>
      <c r="I110" s="143">
        <v>5.5</v>
      </c>
      <c r="J110" s="143">
        <v>0.78</v>
      </c>
      <c r="K110" s="157">
        <f t="shared" si="7"/>
        <v>107.5846153846154</v>
      </c>
      <c r="L110" s="157">
        <f t="shared" si="8"/>
        <v>10758.461538461541</v>
      </c>
      <c r="O110" s="154"/>
    </row>
    <row r="111" spans="2:15" x14ac:dyDescent="0.25">
      <c r="B111" s="154"/>
      <c r="C111" s="159">
        <f t="shared" si="0"/>
        <v>1555.5555555555554</v>
      </c>
      <c r="D111" s="242">
        <v>700</v>
      </c>
      <c r="E111" s="241">
        <v>70</v>
      </c>
      <c r="F111" s="143">
        <v>4</v>
      </c>
      <c r="G111" s="143">
        <v>0.3</v>
      </c>
      <c r="H111" s="143">
        <v>16</v>
      </c>
      <c r="I111" s="143">
        <v>5.5</v>
      </c>
      <c r="J111" s="143">
        <v>0.78</v>
      </c>
      <c r="K111" s="157">
        <f t="shared" si="7"/>
        <v>107.5846153846154</v>
      </c>
      <c r="L111" s="157">
        <f t="shared" si="8"/>
        <v>7530.923076923078</v>
      </c>
      <c r="O111" s="154"/>
    </row>
    <row r="112" spans="2:15" x14ac:dyDescent="0.25">
      <c r="B112" s="154"/>
      <c r="C112" s="159">
        <f t="shared" si="0"/>
        <v>5777.7777777777774</v>
      </c>
      <c r="D112" s="242">
        <v>2600</v>
      </c>
      <c r="E112" s="241">
        <v>226</v>
      </c>
      <c r="F112" s="143">
        <v>4</v>
      </c>
      <c r="G112" s="143">
        <v>0.3</v>
      </c>
      <c r="H112" s="143">
        <v>16</v>
      </c>
      <c r="I112" s="143">
        <v>5.5</v>
      </c>
      <c r="J112" s="143">
        <v>0.78</v>
      </c>
      <c r="K112" s="157">
        <f t="shared" si="7"/>
        <v>107.5846153846154</v>
      </c>
      <c r="L112" s="157">
        <f t="shared" si="8"/>
        <v>24314.123076923082</v>
      </c>
      <c r="O112" s="154"/>
    </row>
    <row r="113" spans="2:15" x14ac:dyDescent="0.25">
      <c r="B113" s="154"/>
      <c r="C113" s="159">
        <f t="shared" si="0"/>
        <v>960</v>
      </c>
      <c r="D113" s="242">
        <v>432</v>
      </c>
      <c r="E113" s="241">
        <v>86.4</v>
      </c>
      <c r="F113" s="143">
        <v>4</v>
      </c>
      <c r="G113" s="143">
        <v>0.3</v>
      </c>
      <c r="H113" s="143">
        <v>16</v>
      </c>
      <c r="I113" s="143">
        <v>5.5</v>
      </c>
      <c r="J113" s="143">
        <v>0.78</v>
      </c>
      <c r="K113" s="157">
        <f t="shared" si="7"/>
        <v>107.5846153846154</v>
      </c>
      <c r="L113" s="157">
        <f t="shared" si="8"/>
        <v>9295.3107692307713</v>
      </c>
      <c r="O113" s="154"/>
    </row>
    <row r="114" spans="2:15" x14ac:dyDescent="0.25">
      <c r="B114" s="154"/>
      <c r="C114" s="159">
        <f t="shared" si="0"/>
        <v>2137.7777777777778</v>
      </c>
      <c r="D114" s="242">
        <v>962</v>
      </c>
      <c r="E114" s="241">
        <v>74</v>
      </c>
      <c r="F114" s="143">
        <v>4</v>
      </c>
      <c r="G114" s="143">
        <v>0.3</v>
      </c>
      <c r="H114" s="143">
        <v>16</v>
      </c>
      <c r="I114" s="143">
        <v>5.5</v>
      </c>
      <c r="J114" s="143">
        <v>0.78</v>
      </c>
      <c r="K114" s="157">
        <f t="shared" si="7"/>
        <v>107.5846153846154</v>
      </c>
      <c r="L114" s="157">
        <f t="shared" si="8"/>
        <v>7961.2615384615401</v>
      </c>
      <c r="O114" s="154"/>
    </row>
    <row r="115" spans="2:15" x14ac:dyDescent="0.25">
      <c r="B115" s="154"/>
      <c r="C115" s="159">
        <f t="shared" si="0"/>
        <v>1733.3333333333333</v>
      </c>
      <c r="D115" s="242">
        <v>780</v>
      </c>
      <c r="E115" s="241">
        <v>60</v>
      </c>
      <c r="F115" s="143">
        <v>4</v>
      </c>
      <c r="G115" s="143">
        <v>0.3</v>
      </c>
      <c r="H115" s="143">
        <v>16</v>
      </c>
      <c r="I115" s="143">
        <v>5.5</v>
      </c>
      <c r="J115" s="143">
        <v>0.78</v>
      </c>
      <c r="K115" s="157">
        <f t="shared" si="7"/>
        <v>107.5846153846154</v>
      </c>
      <c r="L115" s="157">
        <f t="shared" si="8"/>
        <v>6455.0769230769238</v>
      </c>
      <c r="O115" s="154"/>
    </row>
    <row r="116" spans="2:15" x14ac:dyDescent="0.25">
      <c r="B116" s="154"/>
      <c r="C116" s="159">
        <f t="shared" si="0"/>
        <v>1777.7777777777778</v>
      </c>
      <c r="D116" s="242">
        <v>800</v>
      </c>
      <c r="E116" s="241">
        <v>118.8</v>
      </c>
      <c r="F116" s="143">
        <v>4</v>
      </c>
      <c r="G116" s="143">
        <v>0.3</v>
      </c>
      <c r="H116" s="143">
        <v>16</v>
      </c>
      <c r="I116" s="143">
        <v>5.5</v>
      </c>
      <c r="J116" s="143">
        <v>0.78</v>
      </c>
      <c r="K116" s="157">
        <f t="shared" si="7"/>
        <v>107.5846153846154</v>
      </c>
      <c r="L116" s="157">
        <f t="shared" si="8"/>
        <v>12781.052307692309</v>
      </c>
      <c r="O116" s="154"/>
    </row>
    <row r="117" spans="2:15" x14ac:dyDescent="0.25">
      <c r="B117" s="154"/>
      <c r="C117" s="159">
        <f t="shared" si="0"/>
        <v>1457.7777777777778</v>
      </c>
      <c r="D117" s="242">
        <v>656</v>
      </c>
      <c r="E117" s="241">
        <v>82</v>
      </c>
      <c r="F117" s="143">
        <v>4</v>
      </c>
      <c r="G117" s="143">
        <v>0.3</v>
      </c>
      <c r="H117" s="143">
        <v>16</v>
      </c>
      <c r="I117" s="143">
        <v>5.5</v>
      </c>
      <c r="J117" s="143">
        <v>0.78</v>
      </c>
      <c r="K117" s="157">
        <f t="shared" si="7"/>
        <v>107.5846153846154</v>
      </c>
      <c r="L117" s="157">
        <f t="shared" si="8"/>
        <v>8821.9384615384624</v>
      </c>
      <c r="O117" s="154"/>
    </row>
    <row r="118" spans="2:15" x14ac:dyDescent="0.25">
      <c r="B118" s="154"/>
      <c r="C118" s="159">
        <f t="shared" si="0"/>
        <v>2301.577777777778</v>
      </c>
      <c r="D118" s="242">
        <v>1035.71</v>
      </c>
      <c r="E118" s="241">
        <v>40.67</v>
      </c>
      <c r="F118" s="143">
        <v>4</v>
      </c>
      <c r="G118" s="143">
        <v>0.3</v>
      </c>
      <c r="H118" s="143">
        <v>16</v>
      </c>
      <c r="I118" s="143">
        <v>5.5</v>
      </c>
      <c r="J118" s="143">
        <v>0.78</v>
      </c>
      <c r="K118" s="157">
        <f t="shared" si="7"/>
        <v>107.5846153846154</v>
      </c>
      <c r="L118" s="157">
        <f t="shared" si="8"/>
        <v>4375.4663076923089</v>
      </c>
      <c r="O118" s="154"/>
    </row>
    <row r="119" spans="2:15" x14ac:dyDescent="0.25">
      <c r="B119" s="154"/>
      <c r="C119" s="159">
        <f t="shared" si="0"/>
        <v>2577.7777777777778</v>
      </c>
      <c r="D119" s="242">
        <v>1160</v>
      </c>
      <c r="E119" s="241">
        <v>145</v>
      </c>
      <c r="F119" s="143">
        <v>4</v>
      </c>
      <c r="G119" s="143">
        <v>0.3</v>
      </c>
      <c r="H119" s="143">
        <v>16</v>
      </c>
      <c r="I119" s="143">
        <v>5.5</v>
      </c>
      <c r="J119" s="143">
        <v>0.78</v>
      </c>
      <c r="K119" s="157">
        <f t="shared" si="7"/>
        <v>107.5846153846154</v>
      </c>
      <c r="L119" s="157">
        <f t="shared" si="8"/>
        <v>15599.769230769234</v>
      </c>
      <c r="O119" s="154"/>
    </row>
    <row r="120" spans="2:15" x14ac:dyDescent="0.25">
      <c r="B120" s="154"/>
      <c r="C120" s="159">
        <f t="shared" si="0"/>
        <v>1237.3333333333335</v>
      </c>
      <c r="D120" s="242">
        <v>556.80000000000007</v>
      </c>
      <c r="E120" s="241">
        <v>69.600000000000009</v>
      </c>
      <c r="F120" s="143">
        <v>4</v>
      </c>
      <c r="G120" s="143">
        <v>0.3</v>
      </c>
      <c r="H120" s="143">
        <v>16</v>
      </c>
      <c r="I120" s="143">
        <v>5.5</v>
      </c>
      <c r="J120" s="143">
        <v>0.78</v>
      </c>
      <c r="K120" s="157">
        <f t="shared" si="7"/>
        <v>107.5846153846154</v>
      </c>
      <c r="L120" s="157">
        <f t="shared" si="8"/>
        <v>7487.8892307692331</v>
      </c>
      <c r="O120" s="154"/>
    </row>
    <row r="121" spans="2:15" x14ac:dyDescent="0.25">
      <c r="B121" s="154"/>
      <c r="C121" s="159">
        <f t="shared" si="0"/>
        <v>2227.7333333333331</v>
      </c>
      <c r="D121" s="242">
        <v>1002.48</v>
      </c>
      <c r="E121" s="241">
        <v>125.31</v>
      </c>
      <c r="F121" s="143">
        <v>4</v>
      </c>
      <c r="G121" s="143">
        <v>0.3</v>
      </c>
      <c r="H121" s="143">
        <v>16</v>
      </c>
      <c r="I121" s="143">
        <v>5.5</v>
      </c>
      <c r="J121" s="143">
        <v>0.78</v>
      </c>
      <c r="K121" s="157">
        <f t="shared" si="7"/>
        <v>107.5846153846154</v>
      </c>
      <c r="L121" s="157">
        <f t="shared" si="8"/>
        <v>13481.428153846156</v>
      </c>
      <c r="O121" s="154"/>
    </row>
    <row r="122" spans="2:15" x14ac:dyDescent="0.25">
      <c r="B122" s="154"/>
      <c r="C122" s="159">
        <f t="shared" si="0"/>
        <v>586.66666666666663</v>
      </c>
      <c r="D122" s="242">
        <v>264</v>
      </c>
      <c r="E122" s="241">
        <v>33</v>
      </c>
      <c r="F122" s="143">
        <v>4</v>
      </c>
      <c r="G122" s="143">
        <v>0.3</v>
      </c>
      <c r="H122" s="143">
        <v>16</v>
      </c>
      <c r="I122" s="143">
        <v>5.5</v>
      </c>
      <c r="J122" s="143">
        <v>0.78</v>
      </c>
      <c r="K122" s="157">
        <f t="shared" si="7"/>
        <v>107.5846153846154</v>
      </c>
      <c r="L122" s="157">
        <f t="shared" si="8"/>
        <v>3550.2923076923084</v>
      </c>
      <c r="O122" s="154"/>
    </row>
    <row r="123" spans="2:15" x14ac:dyDescent="0.25">
      <c r="B123" s="154"/>
      <c r="C123" s="159">
        <f t="shared" si="0"/>
        <v>1866.6666666666665</v>
      </c>
      <c r="D123" s="242">
        <v>840</v>
      </c>
      <c r="E123" s="241">
        <v>105</v>
      </c>
      <c r="F123" s="143">
        <v>4</v>
      </c>
      <c r="G123" s="143">
        <v>0.3</v>
      </c>
      <c r="H123" s="143">
        <v>16</v>
      </c>
      <c r="I123" s="143">
        <v>5.5</v>
      </c>
      <c r="J123" s="143">
        <v>0.78</v>
      </c>
      <c r="K123" s="157">
        <f t="shared" si="7"/>
        <v>107.5846153846154</v>
      </c>
      <c r="L123" s="157">
        <f t="shared" si="8"/>
        <v>11296.384615384617</v>
      </c>
      <c r="O123" s="154"/>
    </row>
    <row r="124" spans="2:15" x14ac:dyDescent="0.25">
      <c r="B124" s="154"/>
      <c r="C124" s="159">
        <f t="shared" si="0"/>
        <v>1948.8</v>
      </c>
      <c r="D124" s="242">
        <v>876.96</v>
      </c>
      <c r="E124" s="241">
        <v>109.62</v>
      </c>
      <c r="F124" s="143">
        <v>4</v>
      </c>
      <c r="G124" s="143">
        <v>0.3</v>
      </c>
      <c r="H124" s="143">
        <v>16</v>
      </c>
      <c r="I124" s="143">
        <v>5.5</v>
      </c>
      <c r="J124" s="143">
        <v>0.78</v>
      </c>
      <c r="K124" s="157">
        <f t="shared" si="7"/>
        <v>107.5846153846154</v>
      </c>
      <c r="L124" s="157">
        <f t="shared" si="8"/>
        <v>11793.425538461541</v>
      </c>
      <c r="O124" s="154"/>
    </row>
    <row r="125" spans="2:15" x14ac:dyDescent="0.25">
      <c r="B125" s="154"/>
      <c r="C125" s="159">
        <f t="shared" si="0"/>
        <v>2417.7777777777778</v>
      </c>
      <c r="D125" s="242">
        <v>1088</v>
      </c>
      <c r="E125" s="241">
        <v>136</v>
      </c>
      <c r="F125" s="143">
        <v>4</v>
      </c>
      <c r="G125" s="143">
        <v>0.3</v>
      </c>
      <c r="H125" s="143">
        <v>16</v>
      </c>
      <c r="I125" s="143">
        <v>5.5</v>
      </c>
      <c r="J125" s="143">
        <v>0.78</v>
      </c>
      <c r="K125" s="157">
        <f t="shared" si="7"/>
        <v>107.5846153846154</v>
      </c>
      <c r="L125" s="157">
        <f t="shared" si="8"/>
        <v>14631.507692307696</v>
      </c>
      <c r="O125" s="154"/>
    </row>
    <row r="126" spans="2:15" x14ac:dyDescent="0.25">
      <c r="B126" s="154"/>
      <c r="C126" s="159">
        <f t="shared" si="0"/>
        <v>2471.1111111111109</v>
      </c>
      <c r="D126" s="242">
        <v>1112</v>
      </c>
      <c r="E126" s="241">
        <v>139</v>
      </c>
      <c r="F126" s="143">
        <v>4</v>
      </c>
      <c r="G126" s="143">
        <v>0.3</v>
      </c>
      <c r="H126" s="143">
        <v>16</v>
      </c>
      <c r="I126" s="143">
        <v>5.5</v>
      </c>
      <c r="J126" s="143">
        <v>0.78</v>
      </c>
      <c r="K126" s="157">
        <f t="shared" si="7"/>
        <v>107.5846153846154</v>
      </c>
      <c r="L126" s="157">
        <f t="shared" si="8"/>
        <v>14954.261538461542</v>
      </c>
      <c r="O126" s="154"/>
    </row>
    <row r="127" spans="2:15" x14ac:dyDescent="0.25">
      <c r="B127" s="154"/>
      <c r="C127" s="159">
        <f t="shared" si="0"/>
        <v>2133.3333333333335</v>
      </c>
      <c r="D127" s="242">
        <v>960</v>
      </c>
      <c r="E127" s="241">
        <v>120</v>
      </c>
      <c r="F127" s="143">
        <v>4</v>
      </c>
      <c r="G127" s="143">
        <v>0.3</v>
      </c>
      <c r="H127" s="143">
        <v>16</v>
      </c>
      <c r="I127" s="143">
        <v>5.5</v>
      </c>
      <c r="J127" s="143">
        <v>0.78</v>
      </c>
      <c r="K127" s="157">
        <f t="shared" si="7"/>
        <v>107.5846153846154</v>
      </c>
      <c r="L127" s="157">
        <f t="shared" si="8"/>
        <v>12910.153846153848</v>
      </c>
      <c r="O127" s="154"/>
    </row>
    <row r="128" spans="2:15" x14ac:dyDescent="0.25">
      <c r="B128" s="154"/>
      <c r="C128" s="159">
        <f t="shared" si="0"/>
        <v>3111.1111111111109</v>
      </c>
      <c r="D128" s="242">
        <v>1400</v>
      </c>
      <c r="E128" s="241">
        <v>107.97</v>
      </c>
      <c r="F128" s="143">
        <v>4</v>
      </c>
      <c r="G128" s="143">
        <v>0.3</v>
      </c>
      <c r="H128" s="143">
        <v>16</v>
      </c>
      <c r="I128" s="143">
        <v>5.5</v>
      </c>
      <c r="J128" s="143">
        <v>0.78</v>
      </c>
      <c r="K128" s="157">
        <f t="shared" si="7"/>
        <v>107.5846153846154</v>
      </c>
      <c r="L128" s="157">
        <f t="shared" si="8"/>
        <v>11615.910923076925</v>
      </c>
      <c r="O128" s="154"/>
    </row>
    <row r="129" spans="2:15" x14ac:dyDescent="0.25">
      <c r="B129" s="154"/>
      <c r="C129" s="159">
        <f t="shared" si="0"/>
        <v>2209.6</v>
      </c>
      <c r="D129" s="242">
        <v>994.32</v>
      </c>
      <c r="E129" s="241">
        <v>99.432000000000002</v>
      </c>
      <c r="F129" s="143">
        <v>4</v>
      </c>
      <c r="G129" s="143">
        <v>0.3</v>
      </c>
      <c r="H129" s="143">
        <v>16</v>
      </c>
      <c r="I129" s="143">
        <v>5.5</v>
      </c>
      <c r="J129" s="143">
        <v>0.78</v>
      </c>
      <c r="K129" s="157">
        <f t="shared" si="7"/>
        <v>107.5846153846154</v>
      </c>
      <c r="L129" s="157">
        <f t="shared" si="8"/>
        <v>10697.353476923079</v>
      </c>
      <c r="O129" s="154"/>
    </row>
    <row r="130" spans="2:15" x14ac:dyDescent="0.25">
      <c r="B130" s="154"/>
      <c r="C130" s="159">
        <f t="shared" si="0"/>
        <v>1296</v>
      </c>
      <c r="D130" s="242">
        <v>583.20000000000005</v>
      </c>
      <c r="E130" s="241">
        <v>97.2</v>
      </c>
      <c r="F130" s="143">
        <v>4</v>
      </c>
      <c r="G130" s="143">
        <v>0.3</v>
      </c>
      <c r="H130" s="143">
        <v>16</v>
      </c>
      <c r="I130" s="143">
        <v>5.5</v>
      </c>
      <c r="J130" s="143">
        <v>0.78</v>
      </c>
      <c r="K130" s="157">
        <f t="shared" si="7"/>
        <v>107.5846153846154</v>
      </c>
      <c r="L130" s="157">
        <f t="shared" si="8"/>
        <v>10457.224615384617</v>
      </c>
      <c r="O130" s="154"/>
    </row>
    <row r="131" spans="2:15" x14ac:dyDescent="0.25">
      <c r="B131" s="154"/>
      <c r="C131" s="159">
        <f t="shared" si="0"/>
        <v>1512</v>
      </c>
      <c r="D131" s="242">
        <v>680.4</v>
      </c>
      <c r="E131" s="241">
        <v>97.2</v>
      </c>
      <c r="F131" s="143">
        <v>4</v>
      </c>
      <c r="G131" s="143">
        <v>0.3</v>
      </c>
      <c r="H131" s="143">
        <v>16</v>
      </c>
      <c r="I131" s="143">
        <v>5.5</v>
      </c>
      <c r="J131" s="143">
        <v>0.78</v>
      </c>
      <c r="K131" s="157">
        <f t="shared" si="7"/>
        <v>107.5846153846154</v>
      </c>
      <c r="L131" s="157">
        <f t="shared" si="8"/>
        <v>10457.224615384617</v>
      </c>
      <c r="O131" s="154"/>
    </row>
    <row r="132" spans="2:15" x14ac:dyDescent="0.25">
      <c r="B132" s="154"/>
      <c r="C132" s="159">
        <f t="shared" si="0"/>
        <v>2222.2222222222222</v>
      </c>
      <c r="D132" s="242">
        <v>1000</v>
      </c>
      <c r="E132" s="241">
        <v>100</v>
      </c>
      <c r="F132" s="143">
        <v>4</v>
      </c>
      <c r="G132" s="143">
        <v>0.3</v>
      </c>
      <c r="H132" s="143">
        <v>16</v>
      </c>
      <c r="I132" s="143">
        <v>5.5</v>
      </c>
      <c r="J132" s="143">
        <v>0.78</v>
      </c>
      <c r="K132" s="157">
        <f t="shared" si="7"/>
        <v>107.5846153846154</v>
      </c>
      <c r="L132" s="157">
        <f t="shared" si="8"/>
        <v>10758.461538461541</v>
      </c>
      <c r="O132" s="154"/>
    </row>
    <row r="133" spans="2:15" x14ac:dyDescent="0.25">
      <c r="B133" s="154"/>
      <c r="C133" s="159">
        <f t="shared" si="0"/>
        <v>1820.4444444444446</v>
      </c>
      <c r="D133" s="242">
        <v>819.2</v>
      </c>
      <c r="E133" s="241">
        <v>81.92</v>
      </c>
      <c r="F133" s="143">
        <v>4</v>
      </c>
      <c r="G133" s="143">
        <v>0.3</v>
      </c>
      <c r="H133" s="143">
        <v>16</v>
      </c>
      <c r="I133" s="143">
        <v>5.5</v>
      </c>
      <c r="J133" s="143">
        <v>0.78</v>
      </c>
      <c r="K133" s="157">
        <f t="shared" si="7"/>
        <v>107.5846153846154</v>
      </c>
      <c r="L133" s="157">
        <f t="shared" si="8"/>
        <v>8813.3316923076945</v>
      </c>
      <c r="O133" s="154"/>
    </row>
    <row r="134" spans="2:15" x14ac:dyDescent="0.25">
      <c r="B134" s="154"/>
      <c r="C134" s="159">
        <f t="shared" si="0"/>
        <v>186.66666666666666</v>
      </c>
      <c r="D134" s="242">
        <v>84</v>
      </c>
      <c r="E134" s="241">
        <v>16.8</v>
      </c>
      <c r="F134" s="143">
        <v>4</v>
      </c>
      <c r="G134" s="143">
        <v>0.3</v>
      </c>
      <c r="H134" s="143">
        <v>16</v>
      </c>
      <c r="I134" s="143">
        <v>5.5</v>
      </c>
      <c r="J134" s="143">
        <v>0.78</v>
      </c>
      <c r="K134" s="157">
        <f t="shared" si="7"/>
        <v>107.5846153846154</v>
      </c>
      <c r="L134" s="157">
        <f t="shared" si="8"/>
        <v>1807.4215384615388</v>
      </c>
      <c r="O134" s="154"/>
    </row>
    <row r="135" spans="2:15" x14ac:dyDescent="0.25">
      <c r="B135" s="154"/>
      <c r="C135" s="159">
        <f t="shared" si="0"/>
        <v>1777.7777777777778</v>
      </c>
      <c r="D135" s="242">
        <v>800</v>
      </c>
      <c r="E135" s="241">
        <v>80</v>
      </c>
      <c r="F135" s="143">
        <v>4</v>
      </c>
      <c r="G135" s="143">
        <v>0.3</v>
      </c>
      <c r="H135" s="143">
        <v>16</v>
      </c>
      <c r="I135" s="143">
        <v>5.5</v>
      </c>
      <c r="J135" s="143">
        <v>0.78</v>
      </c>
      <c r="K135" s="157">
        <f t="shared" si="7"/>
        <v>107.5846153846154</v>
      </c>
      <c r="L135" s="157">
        <f t="shared" si="8"/>
        <v>8606.7692307692323</v>
      </c>
      <c r="O135" s="154"/>
    </row>
    <row r="136" spans="2:15" x14ac:dyDescent="0.25">
      <c r="B136" s="154"/>
      <c r="C136" s="159">
        <f t="shared" si="0"/>
        <v>533.33333333333337</v>
      </c>
      <c r="D136" s="242">
        <v>240</v>
      </c>
      <c r="E136" s="241">
        <v>24</v>
      </c>
      <c r="F136" s="143">
        <v>4</v>
      </c>
      <c r="G136" s="143">
        <v>0.3</v>
      </c>
      <c r="H136" s="143">
        <v>16</v>
      </c>
      <c r="I136" s="143">
        <v>5.5</v>
      </c>
      <c r="J136" s="143">
        <v>0.78</v>
      </c>
      <c r="K136" s="157">
        <f t="shared" si="7"/>
        <v>107.5846153846154</v>
      </c>
      <c r="L136" s="157">
        <f t="shared" si="8"/>
        <v>2582.0307692307697</v>
      </c>
      <c r="O136" s="154"/>
    </row>
    <row r="137" spans="2:15" x14ac:dyDescent="0.25">
      <c r="B137" s="154"/>
      <c r="C137" s="159">
        <f t="shared" si="0"/>
        <v>2888.8888888888887</v>
      </c>
      <c r="D137" s="242">
        <v>1300</v>
      </c>
      <c r="E137" s="241">
        <v>218</v>
      </c>
      <c r="F137" s="143">
        <v>4</v>
      </c>
      <c r="G137" s="143">
        <v>0.3</v>
      </c>
      <c r="H137" s="143">
        <v>16</v>
      </c>
      <c r="I137" s="143">
        <v>5.5</v>
      </c>
      <c r="J137" s="143">
        <v>0.78</v>
      </c>
      <c r="K137" s="157">
        <f t="shared" si="7"/>
        <v>107.5846153846154</v>
      </c>
      <c r="L137" s="157">
        <f t="shared" si="8"/>
        <v>23453.446153846158</v>
      </c>
      <c r="O137" s="154"/>
    </row>
    <row r="138" spans="2:15" x14ac:dyDescent="0.25">
      <c r="B138" s="154"/>
      <c r="C138" s="159">
        <f t="shared" si="0"/>
        <v>2455.5555555555557</v>
      </c>
      <c r="D138" s="242">
        <v>1105</v>
      </c>
      <c r="E138" s="241">
        <v>85</v>
      </c>
      <c r="F138" s="143">
        <v>4</v>
      </c>
      <c r="G138" s="143">
        <v>0.3</v>
      </c>
      <c r="H138" s="143">
        <v>16</v>
      </c>
      <c r="I138" s="143">
        <v>5.5</v>
      </c>
      <c r="J138" s="143">
        <v>0.78</v>
      </c>
      <c r="K138" s="157">
        <f t="shared" si="7"/>
        <v>107.5846153846154</v>
      </c>
      <c r="L138" s="157">
        <f t="shared" si="8"/>
        <v>9144.6923076923085</v>
      </c>
      <c r="O138" s="154"/>
    </row>
    <row r="139" spans="2:15" x14ac:dyDescent="0.25">
      <c r="B139" s="154"/>
      <c r="C139" s="159">
        <f t="shared" si="0"/>
        <v>1000</v>
      </c>
      <c r="D139" s="242">
        <v>450</v>
      </c>
      <c r="E139" s="241">
        <v>90</v>
      </c>
      <c r="F139" s="143">
        <v>4</v>
      </c>
      <c r="G139" s="143">
        <v>0.3</v>
      </c>
      <c r="H139" s="143">
        <v>16</v>
      </c>
      <c r="I139" s="143">
        <v>5.5</v>
      </c>
      <c r="J139" s="143">
        <v>0.78</v>
      </c>
      <c r="K139" s="157">
        <f t="shared" si="7"/>
        <v>107.5846153846154</v>
      </c>
      <c r="L139" s="157">
        <f t="shared" si="8"/>
        <v>9682.6153846153866</v>
      </c>
      <c r="O139" s="154"/>
    </row>
    <row r="140" spans="2:15" x14ac:dyDescent="0.25">
      <c r="B140" s="154"/>
      <c r="C140" s="159">
        <f t="shared" si="0"/>
        <v>3029.6</v>
      </c>
      <c r="D140" s="242">
        <v>1363.32</v>
      </c>
      <c r="E140" s="241">
        <v>97.38</v>
      </c>
      <c r="F140" s="143">
        <v>4</v>
      </c>
      <c r="G140" s="143">
        <v>0.3</v>
      </c>
      <c r="H140" s="143">
        <v>16</v>
      </c>
      <c r="I140" s="143">
        <v>5.5</v>
      </c>
      <c r="J140" s="143">
        <v>0.78</v>
      </c>
      <c r="K140" s="157">
        <f t="shared" si="7"/>
        <v>107.5846153846154</v>
      </c>
      <c r="L140" s="157">
        <f t="shared" si="8"/>
        <v>10476.589846153847</v>
      </c>
      <c r="O140" s="154"/>
    </row>
    <row r="141" spans="2:15" x14ac:dyDescent="0.25">
      <c r="B141" s="154"/>
      <c r="C141" s="159">
        <f t="shared" si="0"/>
        <v>1733.3333333333333</v>
      </c>
      <c r="D141" s="242">
        <v>780</v>
      </c>
      <c r="E141" s="241">
        <v>78</v>
      </c>
      <c r="F141" s="143">
        <v>4</v>
      </c>
      <c r="G141" s="143">
        <v>0.3</v>
      </c>
      <c r="H141" s="143">
        <v>16</v>
      </c>
      <c r="I141" s="143">
        <v>5.5</v>
      </c>
      <c r="J141" s="143">
        <v>0.78</v>
      </c>
      <c r="K141" s="157">
        <f t="shared" si="7"/>
        <v>107.5846153846154</v>
      </c>
      <c r="L141" s="157">
        <f t="shared" si="8"/>
        <v>8391.6000000000022</v>
      </c>
      <c r="O141" s="154"/>
    </row>
    <row r="142" spans="2:15" x14ac:dyDescent="0.25">
      <c r="B142" s="154"/>
      <c r="C142" s="159">
        <f t="shared" si="0"/>
        <v>1333.3333333333333</v>
      </c>
      <c r="D142" s="242">
        <v>600</v>
      </c>
      <c r="E142" s="241">
        <v>105.2</v>
      </c>
      <c r="F142" s="143">
        <v>4</v>
      </c>
      <c r="G142" s="143">
        <v>0.3</v>
      </c>
      <c r="H142" s="143">
        <v>16</v>
      </c>
      <c r="I142" s="143">
        <v>5.5</v>
      </c>
      <c r="J142" s="143">
        <v>0.78</v>
      </c>
      <c r="K142" s="157">
        <f t="shared" ref="K142:K180" si="9">(F142-G142)*1*((H142-G$5-H$5)-I142)*L$5/J142/1000</f>
        <v>107.5846153846154</v>
      </c>
      <c r="L142" s="157">
        <f t="shared" ref="L142:L180" si="10">E142*K142</f>
        <v>11317.901538461541</v>
      </c>
      <c r="O142" s="154"/>
    </row>
    <row r="143" spans="2:15" x14ac:dyDescent="0.25">
      <c r="B143" s="154"/>
      <c r="C143" s="159">
        <f t="shared" si="0"/>
        <v>1531.1111111111111</v>
      </c>
      <c r="D143" s="242">
        <v>689</v>
      </c>
      <c r="E143" s="241">
        <v>53</v>
      </c>
      <c r="F143" s="143">
        <v>4</v>
      </c>
      <c r="G143" s="143">
        <v>0.3</v>
      </c>
      <c r="H143" s="143">
        <v>16</v>
      </c>
      <c r="I143" s="143">
        <v>5.5</v>
      </c>
      <c r="J143" s="143">
        <v>0.78</v>
      </c>
      <c r="K143" s="157">
        <f t="shared" si="9"/>
        <v>107.5846153846154</v>
      </c>
      <c r="L143" s="157">
        <f t="shared" si="10"/>
        <v>5701.9846153846165</v>
      </c>
      <c r="O143" s="154"/>
    </row>
    <row r="144" spans="2:15" x14ac:dyDescent="0.25">
      <c r="B144" s="154"/>
      <c r="C144" s="159">
        <f t="shared" si="0"/>
        <v>2513.3333333333335</v>
      </c>
      <c r="D144" s="242">
        <v>1131</v>
      </c>
      <c r="E144" s="241">
        <v>87</v>
      </c>
      <c r="F144" s="143">
        <v>4</v>
      </c>
      <c r="G144" s="143">
        <v>0.3</v>
      </c>
      <c r="H144" s="143">
        <v>16</v>
      </c>
      <c r="I144" s="143">
        <v>5.5</v>
      </c>
      <c r="J144" s="143">
        <v>0.78</v>
      </c>
      <c r="K144" s="157">
        <f t="shared" si="9"/>
        <v>107.5846153846154</v>
      </c>
      <c r="L144" s="157">
        <f t="shared" si="10"/>
        <v>9359.8615384615405</v>
      </c>
      <c r="O144" s="154"/>
    </row>
    <row r="145" spans="2:15" x14ac:dyDescent="0.25">
      <c r="B145" s="154"/>
      <c r="C145" s="159">
        <f t="shared" si="0"/>
        <v>2409.3333333333335</v>
      </c>
      <c r="D145" s="242">
        <v>1084.2</v>
      </c>
      <c r="E145" s="241">
        <v>83.4</v>
      </c>
      <c r="F145" s="143">
        <v>4</v>
      </c>
      <c r="G145" s="143">
        <v>0.3</v>
      </c>
      <c r="H145" s="143">
        <v>16</v>
      </c>
      <c r="I145" s="143">
        <v>5.5</v>
      </c>
      <c r="J145" s="143">
        <v>0.78</v>
      </c>
      <c r="K145" s="157">
        <f t="shared" si="9"/>
        <v>107.5846153846154</v>
      </c>
      <c r="L145" s="157">
        <f t="shared" si="10"/>
        <v>8972.5569230769252</v>
      </c>
      <c r="O145" s="154"/>
    </row>
    <row r="146" spans="2:15" x14ac:dyDescent="0.25">
      <c r="B146" s="154"/>
      <c r="C146" s="159">
        <f t="shared" si="0"/>
        <v>2189.7777777777778</v>
      </c>
      <c r="D146" s="242">
        <v>985.4</v>
      </c>
      <c r="E146" s="241">
        <v>75.8</v>
      </c>
      <c r="F146" s="143">
        <v>4</v>
      </c>
      <c r="G146" s="143">
        <v>0.3</v>
      </c>
      <c r="H146" s="143">
        <v>16</v>
      </c>
      <c r="I146" s="143">
        <v>5.5</v>
      </c>
      <c r="J146" s="143">
        <v>0.78</v>
      </c>
      <c r="K146" s="157">
        <f t="shared" si="9"/>
        <v>107.5846153846154</v>
      </c>
      <c r="L146" s="157">
        <f t="shared" si="10"/>
        <v>8154.9138461538469</v>
      </c>
      <c r="O146" s="154"/>
    </row>
    <row r="147" spans="2:15" x14ac:dyDescent="0.25">
      <c r="B147" s="154"/>
      <c r="C147" s="159">
        <f t="shared" si="0"/>
        <v>2671.2</v>
      </c>
      <c r="D147" s="242">
        <v>1202.04</v>
      </c>
      <c r="E147" s="241">
        <v>108</v>
      </c>
      <c r="F147" s="143">
        <v>4</v>
      </c>
      <c r="G147" s="143">
        <v>0.3</v>
      </c>
      <c r="H147" s="143">
        <v>16</v>
      </c>
      <c r="I147" s="143">
        <v>5.5</v>
      </c>
      <c r="J147" s="143">
        <v>0.78</v>
      </c>
      <c r="K147" s="157">
        <f t="shared" si="9"/>
        <v>107.5846153846154</v>
      </c>
      <c r="L147" s="157">
        <f t="shared" si="10"/>
        <v>11619.138461538463</v>
      </c>
      <c r="O147" s="154"/>
    </row>
    <row r="148" spans="2:15" x14ac:dyDescent="0.25">
      <c r="B148" s="154"/>
      <c r="C148" s="159">
        <f t="shared" si="0"/>
        <v>3555.5555555555557</v>
      </c>
      <c r="D148" s="242">
        <v>1600</v>
      </c>
      <c r="E148" s="241">
        <v>110</v>
      </c>
      <c r="F148" s="143">
        <v>4</v>
      </c>
      <c r="G148" s="143">
        <v>0.3</v>
      </c>
      <c r="H148" s="143">
        <v>16</v>
      </c>
      <c r="I148" s="143">
        <v>5.5</v>
      </c>
      <c r="J148" s="143">
        <v>0.78</v>
      </c>
      <c r="K148" s="157">
        <f t="shared" si="9"/>
        <v>107.5846153846154</v>
      </c>
      <c r="L148" s="157">
        <f t="shared" si="10"/>
        <v>11834.307692307695</v>
      </c>
      <c r="O148" s="154"/>
    </row>
    <row r="149" spans="2:15" x14ac:dyDescent="0.25">
      <c r="B149" s="154"/>
      <c r="C149" s="159">
        <f t="shared" si="0"/>
        <v>2459.8888888888891</v>
      </c>
      <c r="D149" s="242">
        <v>1106.95</v>
      </c>
      <c r="E149" s="241">
        <v>85.15</v>
      </c>
      <c r="F149" s="143">
        <v>4</v>
      </c>
      <c r="G149" s="143">
        <v>0.3</v>
      </c>
      <c r="H149" s="143">
        <v>16</v>
      </c>
      <c r="I149" s="143">
        <v>5.5</v>
      </c>
      <c r="J149" s="143">
        <v>0.78</v>
      </c>
      <c r="K149" s="157">
        <f t="shared" si="9"/>
        <v>107.5846153846154</v>
      </c>
      <c r="L149" s="157">
        <f t="shared" si="10"/>
        <v>9160.8300000000017</v>
      </c>
      <c r="O149" s="154"/>
    </row>
    <row r="150" spans="2:15" x14ac:dyDescent="0.25">
      <c r="B150" s="154"/>
      <c r="C150" s="159">
        <f t="shared" si="0"/>
        <v>3555.5555555555557</v>
      </c>
      <c r="D150" s="242">
        <v>1600</v>
      </c>
      <c r="E150" s="241">
        <v>100</v>
      </c>
      <c r="F150" s="143">
        <v>4</v>
      </c>
      <c r="G150" s="143">
        <v>0.3</v>
      </c>
      <c r="H150" s="143">
        <v>16</v>
      </c>
      <c r="I150" s="143">
        <v>5.5</v>
      </c>
      <c r="J150" s="143">
        <v>0.78</v>
      </c>
      <c r="K150" s="157">
        <f t="shared" si="9"/>
        <v>107.5846153846154</v>
      </c>
      <c r="L150" s="157">
        <f t="shared" si="10"/>
        <v>10758.461538461541</v>
      </c>
      <c r="O150" s="154"/>
    </row>
    <row r="151" spans="2:15" x14ac:dyDescent="0.25">
      <c r="B151" s="154"/>
      <c r="C151" s="159">
        <f t="shared" si="0"/>
        <v>3555.5555555555557</v>
      </c>
      <c r="D151" s="242">
        <v>1600</v>
      </c>
      <c r="E151" s="241">
        <v>104.62</v>
      </c>
      <c r="F151" s="143">
        <v>4</v>
      </c>
      <c r="G151" s="143">
        <v>0.3</v>
      </c>
      <c r="H151" s="143">
        <v>16</v>
      </c>
      <c r="I151" s="143">
        <v>5.5</v>
      </c>
      <c r="J151" s="143">
        <v>0.78</v>
      </c>
      <c r="K151" s="157">
        <f t="shared" si="9"/>
        <v>107.5846153846154</v>
      </c>
      <c r="L151" s="157">
        <f t="shared" si="10"/>
        <v>11255.502461538465</v>
      </c>
      <c r="O151" s="154"/>
    </row>
    <row r="152" spans="2:15" x14ac:dyDescent="0.25">
      <c r="B152" s="154"/>
      <c r="C152" s="159">
        <f t="shared" si="0"/>
        <v>320</v>
      </c>
      <c r="D152" s="242">
        <v>144</v>
      </c>
      <c r="E152" s="241">
        <v>18</v>
      </c>
      <c r="F152" s="143">
        <v>4</v>
      </c>
      <c r="G152" s="143">
        <v>0.3</v>
      </c>
      <c r="H152" s="143">
        <v>16</v>
      </c>
      <c r="I152" s="143">
        <v>5.5</v>
      </c>
      <c r="J152" s="143">
        <v>0.78</v>
      </c>
      <c r="K152" s="157">
        <f t="shared" si="9"/>
        <v>107.5846153846154</v>
      </c>
      <c r="L152" s="157">
        <f t="shared" si="10"/>
        <v>1936.5230769230773</v>
      </c>
      <c r="O152" s="154"/>
    </row>
    <row r="153" spans="2:15" x14ac:dyDescent="0.25">
      <c r="B153" s="154"/>
      <c r="C153" s="159">
        <f t="shared" si="0"/>
        <v>400</v>
      </c>
      <c r="D153" s="242">
        <v>180</v>
      </c>
      <c r="E153" s="241">
        <v>36</v>
      </c>
      <c r="F153" s="143">
        <v>4</v>
      </c>
      <c r="G153" s="143">
        <v>0.3</v>
      </c>
      <c r="H153" s="143">
        <v>16</v>
      </c>
      <c r="I153" s="143">
        <v>5.5</v>
      </c>
      <c r="J153" s="143">
        <v>0.78</v>
      </c>
      <c r="K153" s="157">
        <f t="shared" si="9"/>
        <v>107.5846153846154</v>
      </c>
      <c r="L153" s="157">
        <f t="shared" si="10"/>
        <v>3873.0461538461545</v>
      </c>
      <c r="O153" s="154"/>
    </row>
    <row r="154" spans="2:15" x14ac:dyDescent="0.25">
      <c r="B154" s="154"/>
      <c r="C154" s="159">
        <f t="shared" si="0"/>
        <v>3555.5555555555557</v>
      </c>
      <c r="D154" s="242">
        <v>1600</v>
      </c>
      <c r="E154" s="241">
        <v>119.46</v>
      </c>
      <c r="F154" s="143">
        <v>4</v>
      </c>
      <c r="G154" s="143">
        <v>0.3</v>
      </c>
      <c r="H154" s="143">
        <v>16</v>
      </c>
      <c r="I154" s="143">
        <v>5.5</v>
      </c>
      <c r="J154" s="143">
        <v>0.78</v>
      </c>
      <c r="K154" s="157">
        <f t="shared" si="9"/>
        <v>107.5846153846154</v>
      </c>
      <c r="L154" s="157">
        <f t="shared" si="10"/>
        <v>12852.058153846156</v>
      </c>
      <c r="O154" s="154"/>
    </row>
    <row r="155" spans="2:15" x14ac:dyDescent="0.25">
      <c r="B155" s="154"/>
      <c r="C155" s="159">
        <f t="shared" si="0"/>
        <v>1964.4444444444443</v>
      </c>
      <c r="D155" s="242">
        <v>884</v>
      </c>
      <c r="E155" s="241">
        <v>68</v>
      </c>
      <c r="F155" s="143">
        <v>4</v>
      </c>
      <c r="G155" s="143">
        <v>0.3</v>
      </c>
      <c r="H155" s="143">
        <v>16</v>
      </c>
      <c r="I155" s="143">
        <v>5.5</v>
      </c>
      <c r="J155" s="143">
        <v>0.78</v>
      </c>
      <c r="K155" s="157">
        <f t="shared" si="9"/>
        <v>107.5846153846154</v>
      </c>
      <c r="L155" s="157">
        <f t="shared" si="10"/>
        <v>7315.7538461538479</v>
      </c>
      <c r="O155" s="154"/>
    </row>
    <row r="156" spans="2:15" x14ac:dyDescent="0.25">
      <c r="B156" s="154"/>
      <c r="C156" s="159">
        <f t="shared" si="0"/>
        <v>770.75555555555547</v>
      </c>
      <c r="D156" s="242">
        <v>346.84</v>
      </c>
      <c r="E156" s="241">
        <v>26.68</v>
      </c>
      <c r="F156" s="143">
        <v>4</v>
      </c>
      <c r="G156" s="143">
        <v>0.3</v>
      </c>
      <c r="H156" s="143">
        <v>16</v>
      </c>
      <c r="I156" s="143">
        <v>5.5</v>
      </c>
      <c r="J156" s="143">
        <v>0.78</v>
      </c>
      <c r="K156" s="157">
        <f t="shared" si="9"/>
        <v>107.5846153846154</v>
      </c>
      <c r="L156" s="157">
        <f t="shared" si="10"/>
        <v>2870.3575384615388</v>
      </c>
      <c r="O156" s="154"/>
    </row>
    <row r="157" spans="2:15" x14ac:dyDescent="0.25">
      <c r="B157" s="154"/>
      <c r="C157" s="159">
        <f t="shared" si="0"/>
        <v>1444.4444444444443</v>
      </c>
      <c r="D157" s="242">
        <v>650</v>
      </c>
      <c r="E157" s="241">
        <v>50</v>
      </c>
      <c r="F157" s="143">
        <v>4</v>
      </c>
      <c r="G157" s="143">
        <v>0.3</v>
      </c>
      <c r="H157" s="143">
        <v>16</v>
      </c>
      <c r="I157" s="143">
        <v>5.5</v>
      </c>
      <c r="J157" s="143">
        <v>0.78</v>
      </c>
      <c r="K157" s="157">
        <f t="shared" si="9"/>
        <v>107.5846153846154</v>
      </c>
      <c r="L157" s="157">
        <f t="shared" si="10"/>
        <v>5379.2307692307704</v>
      </c>
      <c r="O157" s="154"/>
    </row>
    <row r="158" spans="2:15" x14ac:dyDescent="0.25">
      <c r="B158" s="154"/>
      <c r="C158" s="159">
        <f t="shared" si="0"/>
        <v>1777.7777777777778</v>
      </c>
      <c r="D158" s="242">
        <v>800</v>
      </c>
      <c r="E158" s="241">
        <v>100</v>
      </c>
      <c r="F158" s="143">
        <v>4</v>
      </c>
      <c r="G158" s="143">
        <v>0.3</v>
      </c>
      <c r="H158" s="143">
        <v>16</v>
      </c>
      <c r="I158" s="143">
        <v>5.5</v>
      </c>
      <c r="J158" s="143">
        <v>0.78</v>
      </c>
      <c r="K158" s="157">
        <f t="shared" si="9"/>
        <v>107.5846153846154</v>
      </c>
      <c r="L158" s="157">
        <f t="shared" si="10"/>
        <v>10758.461538461541</v>
      </c>
      <c r="O158" s="154"/>
    </row>
    <row r="159" spans="2:15" x14ac:dyDescent="0.25">
      <c r="B159" s="154"/>
      <c r="C159" s="159">
        <f t="shared" si="0"/>
        <v>3333.333333333333</v>
      </c>
      <c r="D159" s="242">
        <v>1500</v>
      </c>
      <c r="E159" s="241">
        <v>109.57</v>
      </c>
      <c r="F159" s="143">
        <v>4</v>
      </c>
      <c r="G159" s="143">
        <v>0.3</v>
      </c>
      <c r="H159" s="143">
        <v>16</v>
      </c>
      <c r="I159" s="143">
        <v>5.5</v>
      </c>
      <c r="J159" s="143">
        <v>0.78</v>
      </c>
      <c r="K159" s="157">
        <f t="shared" si="9"/>
        <v>107.5846153846154</v>
      </c>
      <c r="L159" s="157">
        <f t="shared" si="10"/>
        <v>11788.04630769231</v>
      </c>
      <c r="O159" s="154"/>
    </row>
    <row r="160" spans="2:15" x14ac:dyDescent="0.25">
      <c r="B160" s="154"/>
      <c r="C160" s="159">
        <f t="shared" si="0"/>
        <v>3555.5555555555557</v>
      </c>
      <c r="D160" s="242">
        <v>1600</v>
      </c>
      <c r="E160" s="241">
        <v>131</v>
      </c>
      <c r="F160" s="143">
        <v>4</v>
      </c>
      <c r="G160" s="143">
        <v>0.3</v>
      </c>
      <c r="H160" s="143">
        <v>16</v>
      </c>
      <c r="I160" s="143">
        <v>5.5</v>
      </c>
      <c r="J160" s="143">
        <v>0.78</v>
      </c>
      <c r="K160" s="157">
        <f t="shared" si="9"/>
        <v>107.5846153846154</v>
      </c>
      <c r="L160" s="157">
        <f t="shared" si="10"/>
        <v>14093.584615384618</v>
      </c>
      <c r="O160" s="154"/>
    </row>
    <row r="161" spans="2:15" x14ac:dyDescent="0.25">
      <c r="B161" s="154"/>
      <c r="C161" s="159">
        <f t="shared" si="0"/>
        <v>2111.1111111111109</v>
      </c>
      <c r="D161" s="242">
        <v>950</v>
      </c>
      <c r="E161" s="241">
        <v>95</v>
      </c>
      <c r="F161" s="143">
        <v>4</v>
      </c>
      <c r="G161" s="143">
        <v>0.3</v>
      </c>
      <c r="H161" s="143">
        <v>16</v>
      </c>
      <c r="I161" s="143">
        <v>5.5</v>
      </c>
      <c r="J161" s="143">
        <v>0.78</v>
      </c>
      <c r="K161" s="157">
        <f t="shared" si="9"/>
        <v>107.5846153846154</v>
      </c>
      <c r="L161" s="157">
        <f t="shared" si="10"/>
        <v>10220.538461538463</v>
      </c>
      <c r="O161" s="154"/>
    </row>
    <row r="162" spans="2:15" x14ac:dyDescent="0.25">
      <c r="B162" s="154"/>
      <c r="C162" s="159">
        <f t="shared" si="0"/>
        <v>1777.7777777777778</v>
      </c>
      <c r="D162" s="242">
        <v>800</v>
      </c>
      <c r="E162" s="241">
        <v>115.5</v>
      </c>
      <c r="F162" s="143">
        <v>4</v>
      </c>
      <c r="G162" s="143">
        <v>0.3</v>
      </c>
      <c r="H162" s="143">
        <v>16</v>
      </c>
      <c r="I162" s="143">
        <v>5.5</v>
      </c>
      <c r="J162" s="143">
        <v>0.78</v>
      </c>
      <c r="K162" s="157">
        <f t="shared" si="9"/>
        <v>107.5846153846154</v>
      </c>
      <c r="L162" s="157">
        <f t="shared" si="10"/>
        <v>12426.023076923078</v>
      </c>
      <c r="O162" s="154"/>
    </row>
    <row r="163" spans="2:15" x14ac:dyDescent="0.25">
      <c r="B163" s="154"/>
      <c r="C163" s="159">
        <f t="shared" si="0"/>
        <v>2224.4444444444443</v>
      </c>
      <c r="D163" s="242">
        <v>1001</v>
      </c>
      <c r="E163" s="241">
        <v>77</v>
      </c>
      <c r="F163" s="143">
        <v>4</v>
      </c>
      <c r="G163" s="143">
        <v>0.3</v>
      </c>
      <c r="H163" s="143">
        <v>16</v>
      </c>
      <c r="I163" s="143">
        <v>5.5</v>
      </c>
      <c r="J163" s="143">
        <v>0.78</v>
      </c>
      <c r="K163" s="157">
        <f t="shared" si="9"/>
        <v>107.5846153846154</v>
      </c>
      <c r="L163" s="157">
        <f t="shared" si="10"/>
        <v>8284.0153846153862</v>
      </c>
      <c r="O163" s="154"/>
    </row>
    <row r="164" spans="2:15" x14ac:dyDescent="0.25">
      <c r="B164" s="154"/>
      <c r="C164" s="159">
        <f t="shared" si="0"/>
        <v>2346.6666666666665</v>
      </c>
      <c r="D164" s="242">
        <v>1056</v>
      </c>
      <c r="E164" s="241">
        <v>66</v>
      </c>
      <c r="F164" s="143">
        <v>4</v>
      </c>
      <c r="G164" s="143">
        <v>0.3</v>
      </c>
      <c r="H164" s="143">
        <v>16</v>
      </c>
      <c r="I164" s="143">
        <v>5.5</v>
      </c>
      <c r="J164" s="143">
        <v>0.78</v>
      </c>
      <c r="K164" s="157">
        <f t="shared" si="9"/>
        <v>107.5846153846154</v>
      </c>
      <c r="L164" s="157">
        <f t="shared" si="10"/>
        <v>7100.5846153846169</v>
      </c>
      <c r="O164" s="154"/>
    </row>
    <row r="165" spans="2:15" x14ac:dyDescent="0.25">
      <c r="B165" s="154"/>
      <c r="C165" s="159">
        <f t="shared" si="0"/>
        <v>2346.6666666666665</v>
      </c>
      <c r="D165" s="242">
        <v>1056</v>
      </c>
      <c r="E165" s="241">
        <v>66</v>
      </c>
      <c r="F165" s="143">
        <v>4</v>
      </c>
      <c r="G165" s="143">
        <v>0.3</v>
      </c>
      <c r="H165" s="143">
        <v>16</v>
      </c>
      <c r="I165" s="143">
        <v>5.5</v>
      </c>
      <c r="J165" s="143">
        <v>0.78</v>
      </c>
      <c r="K165" s="157">
        <f t="shared" si="9"/>
        <v>107.5846153846154</v>
      </c>
      <c r="L165" s="157">
        <f t="shared" si="10"/>
        <v>7100.5846153846169</v>
      </c>
      <c r="O165" s="154"/>
    </row>
    <row r="166" spans="2:15" x14ac:dyDescent="0.25">
      <c r="B166" s="154"/>
      <c r="C166" s="159">
        <f t="shared" si="0"/>
        <v>2346.6666666666665</v>
      </c>
      <c r="D166" s="242">
        <v>1056</v>
      </c>
      <c r="E166" s="241">
        <v>66</v>
      </c>
      <c r="F166" s="143">
        <v>4</v>
      </c>
      <c r="G166" s="143">
        <v>0.3</v>
      </c>
      <c r="H166" s="143">
        <v>16</v>
      </c>
      <c r="I166" s="143">
        <v>5.5</v>
      </c>
      <c r="J166" s="143">
        <v>0.78</v>
      </c>
      <c r="K166" s="157">
        <f t="shared" si="9"/>
        <v>107.5846153846154</v>
      </c>
      <c r="L166" s="157">
        <f t="shared" si="10"/>
        <v>7100.5846153846169</v>
      </c>
      <c r="O166" s="154"/>
    </row>
    <row r="167" spans="2:15" x14ac:dyDescent="0.25">
      <c r="B167" s="154"/>
      <c r="C167" s="159">
        <f t="shared" si="0"/>
        <v>1833.3333333333333</v>
      </c>
      <c r="D167" s="242">
        <v>825</v>
      </c>
      <c r="E167" s="241">
        <v>75</v>
      </c>
      <c r="F167" s="143">
        <v>4</v>
      </c>
      <c r="G167" s="143">
        <v>0.3</v>
      </c>
      <c r="H167" s="143">
        <v>16</v>
      </c>
      <c r="I167" s="143">
        <v>5.5</v>
      </c>
      <c r="J167" s="143">
        <v>0.78</v>
      </c>
      <c r="K167" s="157">
        <f t="shared" si="9"/>
        <v>107.5846153846154</v>
      </c>
      <c r="L167" s="157">
        <f t="shared" si="10"/>
        <v>8068.8461538461552</v>
      </c>
      <c r="O167" s="154"/>
    </row>
    <row r="168" spans="2:15" x14ac:dyDescent="0.25">
      <c r="B168" s="154"/>
      <c r="C168" s="159">
        <f t="shared" si="0"/>
        <v>2080</v>
      </c>
      <c r="D168" s="242">
        <v>936</v>
      </c>
      <c r="E168" s="241">
        <v>72</v>
      </c>
      <c r="F168" s="143">
        <v>4</v>
      </c>
      <c r="G168" s="143">
        <v>0.3</v>
      </c>
      <c r="H168" s="143">
        <v>16</v>
      </c>
      <c r="I168" s="143">
        <v>5.5</v>
      </c>
      <c r="J168" s="143">
        <v>0.78</v>
      </c>
      <c r="K168" s="157">
        <f t="shared" si="9"/>
        <v>107.5846153846154</v>
      </c>
      <c r="L168" s="157">
        <f t="shared" si="10"/>
        <v>7746.0923076923091</v>
      </c>
      <c r="O168" s="154"/>
    </row>
    <row r="169" spans="2:15" x14ac:dyDescent="0.25">
      <c r="B169" s="154"/>
      <c r="C169" s="159">
        <f t="shared" si="0"/>
        <v>2888.8888888888887</v>
      </c>
      <c r="D169" s="242">
        <v>1300</v>
      </c>
      <c r="E169" s="241">
        <v>221</v>
      </c>
      <c r="F169" s="143">
        <v>4</v>
      </c>
      <c r="G169" s="143">
        <v>0.3</v>
      </c>
      <c r="H169" s="143">
        <v>16</v>
      </c>
      <c r="I169" s="143">
        <v>5.5</v>
      </c>
      <c r="J169" s="143">
        <v>0.78</v>
      </c>
      <c r="K169" s="157">
        <f t="shared" si="9"/>
        <v>107.5846153846154</v>
      </c>
      <c r="L169" s="157">
        <f t="shared" si="10"/>
        <v>23776.200000000004</v>
      </c>
      <c r="O169" s="154"/>
    </row>
    <row r="170" spans="2:15" x14ac:dyDescent="0.25">
      <c r="B170" s="154"/>
      <c r="C170" s="159">
        <f t="shared" si="0"/>
        <v>1200</v>
      </c>
      <c r="D170" s="242">
        <v>540</v>
      </c>
      <c r="E170" s="241">
        <v>60</v>
      </c>
      <c r="F170" s="143">
        <v>4</v>
      </c>
      <c r="G170" s="143">
        <v>0.3</v>
      </c>
      <c r="H170" s="143">
        <v>16</v>
      </c>
      <c r="I170" s="143">
        <v>5.5</v>
      </c>
      <c r="J170" s="143">
        <v>0.78</v>
      </c>
      <c r="K170" s="157">
        <f t="shared" si="9"/>
        <v>107.5846153846154</v>
      </c>
      <c r="L170" s="157">
        <f t="shared" si="10"/>
        <v>6455.0769230769238</v>
      </c>
      <c r="O170" s="154"/>
    </row>
    <row r="171" spans="2:15" x14ac:dyDescent="0.25">
      <c r="B171" s="154"/>
      <c r="C171" s="159">
        <f t="shared" si="0"/>
        <v>4533.333333333333</v>
      </c>
      <c r="D171" s="242">
        <v>2040</v>
      </c>
      <c r="E171" s="241">
        <v>120</v>
      </c>
      <c r="F171" s="143">
        <v>4</v>
      </c>
      <c r="G171" s="143">
        <v>0.3</v>
      </c>
      <c r="H171" s="143">
        <v>16</v>
      </c>
      <c r="I171" s="143">
        <v>5.5</v>
      </c>
      <c r="J171" s="143">
        <v>0.78</v>
      </c>
      <c r="K171" s="157">
        <f t="shared" si="9"/>
        <v>107.5846153846154</v>
      </c>
      <c r="L171" s="157">
        <f t="shared" si="10"/>
        <v>12910.153846153848</v>
      </c>
      <c r="O171" s="154"/>
    </row>
    <row r="172" spans="2:15" x14ac:dyDescent="0.25">
      <c r="B172" s="154"/>
      <c r="C172" s="159">
        <f t="shared" si="0"/>
        <v>1224.0000000000002</v>
      </c>
      <c r="D172" s="242">
        <v>550.80000000000007</v>
      </c>
      <c r="E172" s="241">
        <v>68.850000000000009</v>
      </c>
      <c r="F172" s="143">
        <v>4</v>
      </c>
      <c r="G172" s="143">
        <v>0.3</v>
      </c>
      <c r="H172" s="143">
        <v>16</v>
      </c>
      <c r="I172" s="143">
        <v>5.5</v>
      </c>
      <c r="J172" s="143">
        <v>0.78</v>
      </c>
      <c r="K172" s="157">
        <f t="shared" si="9"/>
        <v>107.5846153846154</v>
      </c>
      <c r="L172" s="157">
        <f t="shared" si="10"/>
        <v>7407.2007692307716</v>
      </c>
      <c r="O172" s="154"/>
    </row>
    <row r="173" spans="2:15" x14ac:dyDescent="0.25">
      <c r="B173" s="154"/>
      <c r="C173" s="159">
        <f t="shared" si="0"/>
        <v>2888.8888888888887</v>
      </c>
      <c r="D173" s="242">
        <v>1300</v>
      </c>
      <c r="E173" s="241">
        <v>163</v>
      </c>
      <c r="F173" s="143">
        <v>4</v>
      </c>
      <c r="G173" s="143">
        <v>0.3</v>
      </c>
      <c r="H173" s="143">
        <v>16</v>
      </c>
      <c r="I173" s="143">
        <v>5.5</v>
      </c>
      <c r="J173" s="143">
        <v>0.78</v>
      </c>
      <c r="K173" s="157">
        <f t="shared" si="9"/>
        <v>107.5846153846154</v>
      </c>
      <c r="L173" s="157">
        <f t="shared" si="10"/>
        <v>17536.292307692311</v>
      </c>
      <c r="O173" s="154"/>
    </row>
    <row r="174" spans="2:15" x14ac:dyDescent="0.25">
      <c r="B174" s="154"/>
      <c r="C174" s="159">
        <f t="shared" si="0"/>
        <v>1111.1111111111111</v>
      </c>
      <c r="D174" s="242">
        <v>500</v>
      </c>
      <c r="E174" s="241">
        <v>130</v>
      </c>
      <c r="F174" s="143">
        <v>4</v>
      </c>
      <c r="G174" s="143">
        <v>0.3</v>
      </c>
      <c r="H174" s="143">
        <v>16</v>
      </c>
      <c r="I174" s="143">
        <v>5.5</v>
      </c>
      <c r="J174" s="143">
        <v>0.78</v>
      </c>
      <c r="K174" s="157">
        <f t="shared" si="9"/>
        <v>107.5846153846154</v>
      </c>
      <c r="L174" s="157">
        <f t="shared" si="10"/>
        <v>13986.000000000002</v>
      </c>
      <c r="O174" s="154"/>
    </row>
    <row r="175" spans="2:15" x14ac:dyDescent="0.25">
      <c r="B175" s="154"/>
      <c r="C175" s="159">
        <f t="shared" si="0"/>
        <v>3555.5555555555557</v>
      </c>
      <c r="D175" s="242">
        <v>1600</v>
      </c>
      <c r="E175" s="241">
        <v>153.4</v>
      </c>
      <c r="F175" s="143">
        <v>4</v>
      </c>
      <c r="G175" s="143">
        <v>0.3</v>
      </c>
      <c r="H175" s="143">
        <v>16</v>
      </c>
      <c r="I175" s="143">
        <v>5.5</v>
      </c>
      <c r="J175" s="143">
        <v>0.78</v>
      </c>
      <c r="K175" s="157">
        <f t="shared" si="9"/>
        <v>107.5846153846154</v>
      </c>
      <c r="L175" s="157">
        <f t="shared" si="10"/>
        <v>16503.480000000003</v>
      </c>
      <c r="O175" s="154"/>
    </row>
    <row r="176" spans="2:15" x14ac:dyDescent="0.25">
      <c r="B176" s="154"/>
      <c r="C176" s="159">
        <f t="shared" si="0"/>
        <v>1777.7777777777778</v>
      </c>
      <c r="D176" s="242">
        <v>800</v>
      </c>
      <c r="E176" s="241">
        <v>100</v>
      </c>
      <c r="F176" s="143">
        <v>4</v>
      </c>
      <c r="G176" s="143">
        <v>0.3</v>
      </c>
      <c r="H176" s="143">
        <v>16</v>
      </c>
      <c r="I176" s="143">
        <v>5.5</v>
      </c>
      <c r="J176" s="143">
        <v>0.78</v>
      </c>
      <c r="K176" s="157">
        <f t="shared" si="9"/>
        <v>107.5846153846154</v>
      </c>
      <c r="L176" s="157">
        <f t="shared" si="10"/>
        <v>10758.461538461541</v>
      </c>
      <c r="O176" s="154"/>
    </row>
    <row r="177" spans="2:15" x14ac:dyDescent="0.25">
      <c r="B177" s="154"/>
      <c r="C177" s="159">
        <f t="shared" si="0"/>
        <v>1777.7777777777778</v>
      </c>
      <c r="D177" s="242">
        <v>800</v>
      </c>
      <c r="E177" s="241">
        <v>201.6</v>
      </c>
      <c r="F177" s="143">
        <v>4</v>
      </c>
      <c r="G177" s="143">
        <v>0.3</v>
      </c>
      <c r="H177" s="143">
        <v>16</v>
      </c>
      <c r="I177" s="143">
        <v>5.5</v>
      </c>
      <c r="J177" s="143">
        <v>0.78</v>
      </c>
      <c r="K177" s="157">
        <f t="shared" si="9"/>
        <v>107.5846153846154</v>
      </c>
      <c r="L177" s="157">
        <f t="shared" si="10"/>
        <v>21689.058461538465</v>
      </c>
      <c r="O177" s="154"/>
    </row>
    <row r="178" spans="2:15" x14ac:dyDescent="0.25">
      <c r="B178" s="154"/>
      <c r="C178" s="159">
        <f t="shared" si="0"/>
        <v>3555.5555555555557</v>
      </c>
      <c r="D178" s="242">
        <v>1600</v>
      </c>
      <c r="E178" s="241">
        <v>105</v>
      </c>
      <c r="F178" s="143">
        <v>4</v>
      </c>
      <c r="G178" s="143">
        <v>0.3</v>
      </c>
      <c r="H178" s="143">
        <v>16</v>
      </c>
      <c r="I178" s="143">
        <v>5.5</v>
      </c>
      <c r="J178" s="143">
        <v>0.78</v>
      </c>
      <c r="K178" s="157">
        <f t="shared" si="9"/>
        <v>107.5846153846154</v>
      </c>
      <c r="L178" s="157">
        <f t="shared" si="10"/>
        <v>11296.384615384617</v>
      </c>
      <c r="O178" s="154"/>
    </row>
    <row r="179" spans="2:15" x14ac:dyDescent="0.25">
      <c r="B179" s="154"/>
      <c r="C179" s="159">
        <f t="shared" si="0"/>
        <v>3555.5555555555557</v>
      </c>
      <c r="D179" s="242">
        <v>1600</v>
      </c>
      <c r="E179" s="241">
        <v>107</v>
      </c>
      <c r="F179" s="143">
        <v>4</v>
      </c>
      <c r="G179" s="143">
        <v>0.3</v>
      </c>
      <c r="H179" s="143">
        <v>16</v>
      </c>
      <c r="I179" s="143">
        <v>5.5</v>
      </c>
      <c r="J179" s="143">
        <v>0.78</v>
      </c>
      <c r="K179" s="157">
        <f t="shared" si="9"/>
        <v>107.5846153846154</v>
      </c>
      <c r="L179" s="157">
        <f t="shared" si="10"/>
        <v>11511.553846153849</v>
      </c>
      <c r="O179" s="154"/>
    </row>
    <row r="180" spans="2:15" x14ac:dyDescent="0.25">
      <c r="B180" s="154"/>
      <c r="C180" s="159">
        <f t="shared" si="0"/>
        <v>2561.8666666666663</v>
      </c>
      <c r="D180" s="242">
        <v>1152.8399999999999</v>
      </c>
      <c r="E180" s="241">
        <v>88.68</v>
      </c>
      <c r="F180" s="143">
        <v>4</v>
      </c>
      <c r="G180" s="143">
        <v>0.3</v>
      </c>
      <c r="H180" s="143">
        <v>16</v>
      </c>
      <c r="I180" s="143">
        <v>5.5</v>
      </c>
      <c r="J180" s="143">
        <v>0.78</v>
      </c>
      <c r="K180" s="157">
        <f t="shared" si="9"/>
        <v>107.5846153846154</v>
      </c>
      <c r="L180" s="157">
        <f t="shared" si="10"/>
        <v>9540.6036923076954</v>
      </c>
      <c r="O180" s="154"/>
    </row>
    <row r="181" spans="2:15" x14ac:dyDescent="0.25">
      <c r="B181" s="154"/>
      <c r="C181" s="241"/>
      <c r="D181" s="242"/>
      <c r="E181" s="241"/>
      <c r="F181" s="143"/>
      <c r="G181" s="143"/>
      <c r="H181" s="143"/>
      <c r="I181" s="143"/>
      <c r="J181" s="143"/>
      <c r="K181" s="157"/>
      <c r="L181" s="157"/>
      <c r="O181" s="154"/>
    </row>
    <row r="182" spans="2:15" x14ac:dyDescent="0.25">
      <c r="B182" s="154"/>
      <c r="C182" s="241"/>
      <c r="D182" s="242"/>
      <c r="E182" s="241"/>
      <c r="F182" s="143"/>
      <c r="G182" s="143"/>
      <c r="H182" s="143"/>
      <c r="I182" s="143"/>
      <c r="J182" s="143"/>
      <c r="K182" s="157"/>
      <c r="L182" s="157"/>
      <c r="O182" s="154"/>
    </row>
    <row r="183" spans="2:15" x14ac:dyDescent="0.25">
      <c r="B183" s="154"/>
      <c r="C183" s="241"/>
      <c r="D183" s="242"/>
      <c r="E183" s="241"/>
      <c r="F183" s="143"/>
      <c r="G183" s="143"/>
      <c r="H183" s="143"/>
      <c r="I183" s="143"/>
      <c r="J183" s="143"/>
      <c r="K183" s="157"/>
      <c r="L183" s="157"/>
      <c r="O183" s="154"/>
    </row>
    <row r="184" spans="2:15" x14ac:dyDescent="0.25">
      <c r="B184" s="154"/>
      <c r="C184" s="241"/>
      <c r="D184" s="242"/>
      <c r="E184" s="241"/>
      <c r="F184" s="143"/>
      <c r="G184" s="143"/>
      <c r="H184" s="143"/>
      <c r="I184" s="143"/>
      <c r="J184" s="143"/>
      <c r="K184" s="157"/>
      <c r="L184" s="157"/>
      <c r="O184" s="154"/>
    </row>
    <row r="185" spans="2:15" x14ac:dyDescent="0.25">
      <c r="B185" s="154"/>
      <c r="C185" s="241"/>
      <c r="D185" s="242"/>
      <c r="E185" s="241"/>
      <c r="F185" s="143"/>
      <c r="G185" s="143"/>
      <c r="H185" s="143"/>
      <c r="I185" s="143"/>
      <c r="J185" s="143"/>
      <c r="K185" s="157"/>
      <c r="L185" s="157"/>
      <c r="O185" s="154"/>
    </row>
    <row r="186" spans="2:15" x14ac:dyDescent="0.25">
      <c r="B186" s="154"/>
      <c r="C186" s="241"/>
      <c r="D186" s="242"/>
      <c r="E186" s="241"/>
      <c r="F186" s="143"/>
      <c r="G186" s="143"/>
      <c r="H186" s="143"/>
      <c r="I186" s="143"/>
      <c r="J186" s="143"/>
      <c r="K186" s="157"/>
      <c r="L186" s="157"/>
      <c r="O186" s="154"/>
    </row>
    <row r="187" spans="2:15" x14ac:dyDescent="0.25">
      <c r="B187" s="154"/>
      <c r="C187" s="241"/>
      <c r="D187" s="242"/>
      <c r="E187" s="241"/>
      <c r="F187" s="143"/>
      <c r="G187" s="143"/>
      <c r="H187" s="143"/>
      <c r="I187" s="143"/>
      <c r="J187" s="143"/>
      <c r="K187" s="157"/>
      <c r="L187" s="157"/>
      <c r="O187" s="154"/>
    </row>
    <row r="188" spans="2:15" x14ac:dyDescent="0.25">
      <c r="B188" s="154"/>
      <c r="C188" s="241"/>
      <c r="D188" s="242"/>
      <c r="E188" s="241"/>
      <c r="F188" s="143"/>
      <c r="G188" s="143"/>
      <c r="H188" s="143"/>
      <c r="I188" s="143"/>
      <c r="J188" s="143"/>
      <c r="K188" s="157"/>
      <c r="L188" s="157"/>
      <c r="O188" s="154"/>
    </row>
    <row r="189" spans="2:15" x14ac:dyDescent="0.25">
      <c r="B189" s="154"/>
      <c r="C189" s="241"/>
      <c r="D189" s="242"/>
      <c r="E189" s="241"/>
      <c r="F189" s="143"/>
      <c r="G189" s="143"/>
      <c r="H189" s="143"/>
      <c r="I189" s="143"/>
      <c r="J189" s="143"/>
      <c r="K189" s="157"/>
      <c r="L189" s="157"/>
      <c r="O189" s="154"/>
    </row>
    <row r="190" spans="2:15" x14ac:dyDescent="0.25">
      <c r="B190" s="154"/>
      <c r="C190" s="241"/>
      <c r="D190" s="242"/>
      <c r="E190" s="241"/>
      <c r="F190" s="143"/>
      <c r="G190" s="143"/>
      <c r="H190" s="143"/>
      <c r="I190" s="143"/>
      <c r="J190" s="143"/>
      <c r="K190" s="157"/>
      <c r="L190" s="157"/>
      <c r="O190" s="154"/>
    </row>
    <row r="191" spans="2:15" x14ac:dyDescent="0.25">
      <c r="B191" s="154"/>
      <c r="C191" s="241"/>
      <c r="D191" s="242"/>
      <c r="E191" s="241"/>
      <c r="F191" s="143"/>
      <c r="G191" s="143"/>
      <c r="H191" s="143"/>
      <c r="I191" s="143"/>
      <c r="J191" s="143"/>
      <c r="K191" s="157"/>
      <c r="L191" s="157"/>
      <c r="O191" s="154"/>
    </row>
    <row r="192" spans="2:15" x14ac:dyDescent="0.25">
      <c r="B192" s="154"/>
      <c r="C192" s="241"/>
      <c r="D192" s="242"/>
      <c r="E192" s="241"/>
      <c r="F192" s="143"/>
      <c r="G192" s="143"/>
      <c r="H192" s="143"/>
      <c r="I192" s="143"/>
      <c r="J192" s="143"/>
      <c r="K192" s="157"/>
      <c r="L192" s="157"/>
      <c r="O192" s="154"/>
    </row>
    <row r="193" spans="2:15" x14ac:dyDescent="0.25">
      <c r="B193" s="154"/>
      <c r="C193" s="241"/>
      <c r="D193" s="242"/>
      <c r="E193" s="241"/>
      <c r="F193" s="143"/>
      <c r="G193" s="143"/>
      <c r="H193" s="143"/>
      <c r="I193" s="143"/>
      <c r="J193" s="143"/>
      <c r="K193" s="157"/>
      <c r="L193" s="157"/>
      <c r="O193" s="154"/>
    </row>
    <row r="194" spans="2:15" x14ac:dyDescent="0.25">
      <c r="B194" s="154">
        <v>46</v>
      </c>
      <c r="C194" s="159">
        <f t="shared" si="0"/>
        <v>0</v>
      </c>
      <c r="D194" s="154"/>
      <c r="E194" s="161"/>
      <c r="F194" s="143">
        <v>4</v>
      </c>
      <c r="G194" s="143">
        <v>0.3</v>
      </c>
      <c r="H194" s="143">
        <v>16</v>
      </c>
      <c r="I194" s="143">
        <v>5.5</v>
      </c>
      <c r="J194" s="143">
        <v>0.78</v>
      </c>
      <c r="K194" s="157">
        <f>(F194-G194)*1*((H194-G$5-H$5)-I194)*L$5/J194/1000</f>
        <v>107.5846153846154</v>
      </c>
      <c r="L194" s="157">
        <f>E194*K194</f>
        <v>0</v>
      </c>
      <c r="O194" s="154"/>
    </row>
    <row r="195" spans="2:15" x14ac:dyDescent="0.25">
      <c r="B195" s="154">
        <v>47</v>
      </c>
      <c r="C195" s="154"/>
      <c r="D195" s="154"/>
      <c r="E195" s="161"/>
      <c r="F195" s="143"/>
      <c r="G195" s="143"/>
      <c r="H195" s="143">
        <v>16</v>
      </c>
      <c r="I195" s="143">
        <v>5.5</v>
      </c>
      <c r="J195" s="143">
        <v>0.78</v>
      </c>
      <c r="K195" s="157">
        <f>(F195-G195)*1*((H195-G$5-H$5)-I195)*L$5/J195/1000</f>
        <v>0</v>
      </c>
      <c r="L195" s="157">
        <f>E195*K195</f>
        <v>0</v>
      </c>
      <c r="O195" s="154"/>
    </row>
    <row r="196" spans="2:15" x14ac:dyDescent="0.25">
      <c r="B196" s="2"/>
      <c r="C196" s="162">
        <f>SUM(C7:C195)</f>
        <v>346562.68888888886</v>
      </c>
      <c r="D196" s="162">
        <f>SUM(D7:D195)</f>
        <v>155953.20999999996</v>
      </c>
      <c r="E196" s="163"/>
      <c r="F196" s="163"/>
      <c r="G196" s="163"/>
      <c r="H196" s="163"/>
      <c r="I196" s="163"/>
      <c r="J196" s="163"/>
      <c r="K196" s="163"/>
      <c r="L196" s="162">
        <f>SUM(L7:L195)</f>
        <v>1821990.8622461539</v>
      </c>
      <c r="O196" s="162">
        <f>SUM(O7:O195)</f>
        <v>0</v>
      </c>
    </row>
    <row r="197" spans="2:15" x14ac:dyDescent="0.25">
      <c r="B197" s="2"/>
      <c r="C197" s="2"/>
      <c r="D197" s="2"/>
      <c r="E197" s="163"/>
      <c r="F197" s="163"/>
      <c r="G197" s="163"/>
      <c r="H197" s="163"/>
      <c r="I197" s="163"/>
      <c r="J197" s="163"/>
      <c r="K197" s="163"/>
      <c r="L197" s="163"/>
    </row>
    <row r="198" spans="2:15" x14ac:dyDescent="0.25">
      <c r="B198" s="2"/>
      <c r="C198" s="2"/>
      <c r="D198" s="2"/>
      <c r="E198" s="163"/>
      <c r="F198" s="163"/>
      <c r="G198" s="163"/>
      <c r="H198" s="163"/>
      <c r="I198" s="163"/>
      <c r="J198" s="163"/>
      <c r="K198" s="163"/>
      <c r="L198" s="163"/>
    </row>
    <row r="200" spans="2:15" x14ac:dyDescent="0.25">
      <c r="B200" s="1004" t="s">
        <v>351</v>
      </c>
      <c r="C200" s="164"/>
      <c r="D200" s="164"/>
      <c r="F200" s="143"/>
      <c r="G200" s="143"/>
      <c r="H200" s="143"/>
      <c r="I200" s="143"/>
      <c r="J200" s="143"/>
      <c r="K200" s="143"/>
      <c r="L200" s="143"/>
    </row>
    <row r="201" spans="2:15" x14ac:dyDescent="0.25">
      <c r="B201" s="1004"/>
      <c r="C201" s="165"/>
      <c r="D201" s="165"/>
      <c r="E201" s="143">
        <v>3</v>
      </c>
      <c r="F201" s="143"/>
      <c r="G201" s="143"/>
      <c r="H201" s="143"/>
      <c r="I201" s="143"/>
      <c r="J201" s="143"/>
      <c r="K201" s="143"/>
      <c r="L201" s="143"/>
    </row>
    <row r="202" spans="2:15" x14ac:dyDescent="0.25">
      <c r="B202" s="1004"/>
      <c r="C202" s="165"/>
      <c r="D202" s="165"/>
      <c r="E202" s="143">
        <v>0.5</v>
      </c>
      <c r="F202" s="143"/>
      <c r="G202" s="143"/>
      <c r="H202" s="143"/>
      <c r="I202" s="143"/>
      <c r="J202" s="143"/>
      <c r="K202" s="143"/>
      <c r="L202" s="143"/>
    </row>
    <row r="203" spans="2:15" x14ac:dyDescent="0.25">
      <c r="B203" s="1004"/>
      <c r="C203" s="165"/>
      <c r="D203" s="165"/>
      <c r="E203" s="143">
        <v>16</v>
      </c>
      <c r="F203" s="143"/>
      <c r="G203" s="143"/>
      <c r="H203" s="143"/>
      <c r="I203" s="143"/>
      <c r="J203" s="143"/>
      <c r="K203" s="143"/>
      <c r="L203" s="143"/>
    </row>
    <row r="204" spans="2:15" x14ac:dyDescent="0.25">
      <c r="E204" s="143">
        <v>3</v>
      </c>
      <c r="F204" s="143"/>
      <c r="G204" s="143"/>
      <c r="H204" s="143"/>
      <c r="I204" s="143"/>
      <c r="J204" s="143"/>
      <c r="K204" s="143"/>
      <c r="L204" s="143"/>
    </row>
    <row r="205" spans="2:15" x14ac:dyDescent="0.25">
      <c r="E205" s="143">
        <v>3</v>
      </c>
      <c r="F205" s="143"/>
      <c r="G205" s="143"/>
      <c r="H205" s="143"/>
      <c r="I205" s="143"/>
      <c r="J205" s="143"/>
      <c r="K205" s="143"/>
      <c r="L205" s="143"/>
    </row>
    <row r="206" spans="2:15" x14ac:dyDescent="0.25">
      <c r="E206" s="143">
        <v>5.5</v>
      </c>
      <c r="F206" s="143"/>
      <c r="G206" s="143"/>
      <c r="H206" s="143"/>
      <c r="I206" s="143"/>
      <c r="J206" s="143"/>
      <c r="K206" s="143"/>
      <c r="L206" s="143"/>
    </row>
    <row r="207" spans="2:15" x14ac:dyDescent="0.25">
      <c r="E207" s="143">
        <v>0.78</v>
      </c>
      <c r="F207" s="143"/>
      <c r="G207" s="143"/>
      <c r="H207" s="143"/>
      <c r="I207" s="143"/>
      <c r="J207" s="143"/>
      <c r="K207" s="143"/>
      <c r="L207" s="143"/>
    </row>
    <row r="208" spans="2:15" x14ac:dyDescent="0.25">
      <c r="F208" s="157"/>
      <c r="G208" s="157"/>
      <c r="H208" s="157"/>
      <c r="I208" s="157"/>
      <c r="J208" s="157"/>
      <c r="K208" s="157"/>
      <c r="L208" s="157"/>
    </row>
    <row r="210" spans="2:2" x14ac:dyDescent="0.25">
      <c r="B210" s="37" t="s">
        <v>352</v>
      </c>
    </row>
    <row r="211" spans="2:2" x14ac:dyDescent="0.25">
      <c r="B211" s="37" t="s">
        <v>353</v>
      </c>
    </row>
    <row r="212" spans="2:2" x14ac:dyDescent="0.25">
      <c r="B212" s="37" t="s">
        <v>354</v>
      </c>
    </row>
    <row r="213" spans="2:2" x14ac:dyDescent="0.25">
      <c r="B213" s="37" t="s">
        <v>355</v>
      </c>
    </row>
    <row r="214" spans="2:2" x14ac:dyDescent="0.25">
      <c r="B214" s="37" t="s">
        <v>356</v>
      </c>
    </row>
    <row r="215" spans="2:2" x14ac:dyDescent="0.25">
      <c r="B215" s="37" t="s">
        <v>357</v>
      </c>
    </row>
    <row r="216" spans="2:2" x14ac:dyDescent="0.25">
      <c r="B216" s="37" t="s">
        <v>358</v>
      </c>
    </row>
    <row r="217" spans="2:2" x14ac:dyDescent="0.25">
      <c r="B217" s="37" t="s">
        <v>359</v>
      </c>
    </row>
    <row r="218" spans="2:2" x14ac:dyDescent="0.25">
      <c r="B218" s="37" t="s">
        <v>360</v>
      </c>
    </row>
    <row r="219" spans="2:2" x14ac:dyDescent="0.25">
      <c r="B219" s="37" t="s">
        <v>361</v>
      </c>
    </row>
    <row r="221" spans="2:2" x14ac:dyDescent="0.25">
      <c r="B221" s="37" t="s">
        <v>362</v>
      </c>
    </row>
    <row r="223" spans="2:2" x14ac:dyDescent="0.25">
      <c r="B223" s="37" t="s">
        <v>363</v>
      </c>
    </row>
    <row r="225" spans="2:12" x14ac:dyDescent="0.25">
      <c r="B225" s="37" t="s">
        <v>364</v>
      </c>
      <c r="E225" s="37"/>
      <c r="F225" s="37"/>
      <c r="G225" s="37"/>
      <c r="H225" s="37"/>
      <c r="I225" s="37"/>
      <c r="J225" s="37"/>
      <c r="K225" s="37"/>
      <c r="L225" s="37"/>
    </row>
    <row r="227" spans="2:12" x14ac:dyDescent="0.25">
      <c r="B227" s="37" t="s">
        <v>332</v>
      </c>
      <c r="E227" s="37"/>
      <c r="F227" s="37"/>
      <c r="G227" s="37"/>
      <c r="H227" s="37"/>
      <c r="I227" s="37"/>
      <c r="J227" s="37"/>
      <c r="K227" s="37"/>
      <c r="L227" s="37"/>
    </row>
    <row r="228" spans="2:12" x14ac:dyDescent="0.25">
      <c r="B228" s="37" t="s">
        <v>365</v>
      </c>
      <c r="E228" s="37"/>
      <c r="F228" s="37"/>
      <c r="G228" s="37"/>
      <c r="H228" s="37"/>
      <c r="I228" s="37"/>
      <c r="J228" s="37"/>
      <c r="K228" s="37"/>
      <c r="L228" s="37"/>
    </row>
    <row r="230" spans="2:12" x14ac:dyDescent="0.25">
      <c r="B230" s="37" t="s">
        <v>366</v>
      </c>
      <c r="E230" s="37"/>
      <c r="F230" s="37"/>
      <c r="G230" s="37"/>
      <c r="H230" s="37"/>
      <c r="I230" s="37"/>
      <c r="J230" s="37"/>
      <c r="K230" s="37"/>
      <c r="L230" s="37"/>
    </row>
    <row r="231" spans="2:12" x14ac:dyDescent="0.25">
      <c r="B231" s="37" t="s">
        <v>367</v>
      </c>
      <c r="E231" s="37"/>
      <c r="F231" s="37"/>
      <c r="G231" s="37"/>
      <c r="H231" s="37"/>
      <c r="I231" s="37"/>
      <c r="J231" s="37"/>
      <c r="K231" s="37"/>
      <c r="L231" s="37"/>
    </row>
    <row r="232" spans="2:12" x14ac:dyDescent="0.25">
      <c r="B232" s="37" t="s">
        <v>368</v>
      </c>
      <c r="E232" s="37"/>
      <c r="F232" s="37"/>
      <c r="G232" s="37"/>
      <c r="H232" s="37"/>
      <c r="I232" s="37"/>
      <c r="J232" s="37"/>
      <c r="K232" s="37"/>
      <c r="L232" s="37"/>
    </row>
    <row r="233" spans="2:12" x14ac:dyDescent="0.25">
      <c r="B233" s="37" t="s">
        <v>369</v>
      </c>
      <c r="E233" s="37"/>
      <c r="F233" s="37"/>
      <c r="G233" s="37"/>
      <c r="H233" s="37"/>
      <c r="I233" s="37"/>
      <c r="J233" s="37"/>
      <c r="K233" s="37"/>
      <c r="L233" s="37"/>
    </row>
    <row r="234" spans="2:12" x14ac:dyDescent="0.25">
      <c r="B234" s="37" t="s">
        <v>370</v>
      </c>
      <c r="E234" s="37"/>
      <c r="F234" s="37"/>
      <c r="G234" s="37"/>
      <c r="H234" s="37"/>
      <c r="I234" s="37"/>
      <c r="J234" s="37"/>
      <c r="K234" s="37"/>
      <c r="L234" s="37"/>
    </row>
    <row r="236" spans="2:12" x14ac:dyDescent="0.25">
      <c r="B236" s="37" t="s">
        <v>371</v>
      </c>
      <c r="E236" s="37"/>
      <c r="F236" s="37"/>
      <c r="G236" s="37"/>
      <c r="H236" s="37"/>
      <c r="I236" s="37"/>
      <c r="J236" s="37"/>
      <c r="K236" s="37"/>
      <c r="L236" s="37"/>
    </row>
  </sheetData>
  <mergeCells count="3">
    <mergeCell ref="B3:H3"/>
    <mergeCell ref="I3:L3"/>
    <mergeCell ref="B200:B203"/>
  </mergeCells>
  <pageMargins left="0.7" right="0.7" top="0.75" bottom="0.75" header="0.3" footer="0.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O136"/>
  <sheetViews>
    <sheetView topLeftCell="A64" workbookViewId="0">
      <selection activeCell="F38" sqref="F38:L94"/>
    </sheetView>
  </sheetViews>
  <sheetFormatPr baseColWidth="10" defaultRowHeight="15" x14ac:dyDescent="0.25"/>
  <cols>
    <col min="1" max="1" width="11.42578125" style="37"/>
    <col min="2" max="2" width="5.7109375" style="37" customWidth="1"/>
    <col min="3" max="3" width="13" style="37" customWidth="1"/>
    <col min="4" max="4" width="9.42578125" style="37" customWidth="1"/>
    <col min="5" max="5" width="9.5703125" style="148" customWidth="1"/>
    <col min="6" max="7" width="11.42578125" style="148"/>
    <col min="8" max="12" width="11.42578125" style="148" customWidth="1"/>
    <col min="13" max="16384" width="11.42578125" style="37"/>
  </cols>
  <sheetData>
    <row r="1" spans="2:15" x14ac:dyDescent="0.25">
      <c r="B1" s="37" t="s">
        <v>83</v>
      </c>
      <c r="J1" s="148" t="s">
        <v>332</v>
      </c>
    </row>
    <row r="2" spans="2:15" x14ac:dyDescent="0.25">
      <c r="B2" s="37" t="s">
        <v>333</v>
      </c>
      <c r="J2" s="148" t="s">
        <v>334</v>
      </c>
    </row>
    <row r="3" spans="2:15" ht="18" customHeight="1" x14ac:dyDescent="0.3">
      <c r="B3" s="1001" t="s">
        <v>372</v>
      </c>
      <c r="C3" s="1001"/>
      <c r="D3" s="1001"/>
      <c r="E3" s="1001"/>
      <c r="F3" s="1001"/>
      <c r="G3" s="1001"/>
      <c r="H3" s="1001"/>
      <c r="I3" s="1002" t="s">
        <v>336</v>
      </c>
      <c r="J3" s="1002"/>
      <c r="K3" s="1002"/>
      <c r="L3" s="1003"/>
    </row>
    <row r="4" spans="2:15" ht="18" customHeight="1" x14ac:dyDescent="0.3">
      <c r="B4" s="149"/>
      <c r="C4" s="37">
        <v>0.45</v>
      </c>
      <c r="E4" s="150"/>
      <c r="F4" s="151"/>
      <c r="G4" s="151"/>
      <c r="H4" s="151"/>
      <c r="I4" s="152"/>
      <c r="J4" s="152"/>
      <c r="K4" s="152"/>
      <c r="L4" s="150"/>
    </row>
    <row r="5" spans="2:15" ht="28.5" customHeight="1" x14ac:dyDescent="0.25">
      <c r="B5" s="153" t="s">
        <v>337</v>
      </c>
      <c r="C5" s="154" t="s">
        <v>338</v>
      </c>
      <c r="D5" s="155" t="s">
        <v>339</v>
      </c>
      <c r="E5" s="156"/>
      <c r="F5" s="157" t="s">
        <v>340</v>
      </c>
      <c r="G5" s="157">
        <v>3</v>
      </c>
      <c r="H5" s="157">
        <v>3</v>
      </c>
      <c r="I5" s="157" t="s">
        <v>341</v>
      </c>
      <c r="J5" s="157">
        <v>23</v>
      </c>
      <c r="K5" s="157" t="s">
        <v>373</v>
      </c>
      <c r="L5" s="143">
        <v>5040</v>
      </c>
      <c r="O5" s="154"/>
    </row>
    <row r="6" spans="2:15" x14ac:dyDescent="0.25">
      <c r="B6" s="143"/>
      <c r="C6" s="154"/>
      <c r="D6" s="158" t="s">
        <v>343</v>
      </c>
      <c r="E6" s="143" t="s">
        <v>344</v>
      </c>
      <c r="F6" s="143" t="s">
        <v>345</v>
      </c>
      <c r="G6" s="143" t="s">
        <v>346</v>
      </c>
      <c r="H6" s="143" t="s">
        <v>347</v>
      </c>
      <c r="I6" s="143" t="s">
        <v>348</v>
      </c>
      <c r="J6" s="157" t="s">
        <v>349</v>
      </c>
      <c r="K6" s="143" t="s">
        <v>350</v>
      </c>
      <c r="L6" s="143" t="s">
        <v>155</v>
      </c>
      <c r="O6" s="158"/>
    </row>
    <row r="7" spans="2:15" x14ac:dyDescent="0.25">
      <c r="B7" s="154">
        <v>1</v>
      </c>
      <c r="C7" s="159">
        <f t="shared" ref="C7:C86" si="0">D7/C$4</f>
        <v>8418.3333333333339</v>
      </c>
      <c r="D7" s="160">
        <v>3788.25</v>
      </c>
      <c r="E7" s="160">
        <v>151.53</v>
      </c>
      <c r="F7" s="143">
        <v>2</v>
      </c>
      <c r="G7" s="143">
        <v>0.46600000000000003</v>
      </c>
      <c r="H7" s="143">
        <v>19</v>
      </c>
      <c r="I7" s="143">
        <v>5.5</v>
      </c>
      <c r="J7" s="143">
        <v>0.78</v>
      </c>
      <c r="K7" s="157">
        <f>(F7-G7)*1*((H7-G$5-H$5)-I7)*L$5/J7/1000</f>
        <v>74.34</v>
      </c>
      <c r="L7" s="157">
        <f>E7*K7</f>
        <v>11264.7402</v>
      </c>
      <c r="O7" s="154"/>
    </row>
    <row r="8" spans="2:15" x14ac:dyDescent="0.25">
      <c r="B8" s="154">
        <v>2</v>
      </c>
      <c r="C8" s="159">
        <f t="shared" si="0"/>
        <v>8180.8444444444449</v>
      </c>
      <c r="D8" s="160">
        <v>3681.38</v>
      </c>
      <c r="E8" s="160">
        <v>151</v>
      </c>
      <c r="F8" s="143">
        <v>2</v>
      </c>
      <c r="G8" s="143">
        <v>0.46600000000000003</v>
      </c>
      <c r="H8" s="143">
        <v>19</v>
      </c>
      <c r="I8" s="143">
        <v>5.5</v>
      </c>
      <c r="J8" s="143">
        <v>0.78</v>
      </c>
      <c r="K8" s="157">
        <f>(F8-G8)*1*((H8-G$5-H$5)-I8)*L$5/J8/1000</f>
        <v>74.34</v>
      </c>
      <c r="L8" s="157">
        <f>E8*K8</f>
        <v>11225.34</v>
      </c>
      <c r="O8" s="154"/>
    </row>
    <row r="9" spans="2:15" x14ac:dyDescent="0.25">
      <c r="B9" s="154">
        <v>3</v>
      </c>
      <c r="C9" s="159">
        <f t="shared" si="0"/>
        <v>6143.333333333333</v>
      </c>
      <c r="D9" s="160">
        <v>2764.5</v>
      </c>
      <c r="E9" s="160">
        <v>110.58</v>
      </c>
      <c r="F9" s="143">
        <v>2</v>
      </c>
      <c r="G9" s="143">
        <v>0.46600000000000003</v>
      </c>
      <c r="H9" s="143">
        <v>19</v>
      </c>
      <c r="I9" s="143">
        <v>5.5</v>
      </c>
      <c r="J9" s="143">
        <v>0.78</v>
      </c>
      <c r="K9" s="157">
        <f>(F9-G9)*1*((H9-G$5-H$5)-I9)*L$5/J9/1000</f>
        <v>74.34</v>
      </c>
      <c r="L9" s="157">
        <f>E9*K9</f>
        <v>8220.5172000000002</v>
      </c>
      <c r="O9" s="154"/>
    </row>
    <row r="10" spans="2:15" x14ac:dyDescent="0.25">
      <c r="B10" s="154">
        <v>4</v>
      </c>
      <c r="C10" s="159">
        <f t="shared" si="0"/>
        <v>7852.2222222222217</v>
      </c>
      <c r="D10" s="160">
        <v>3533.5</v>
      </c>
      <c r="E10" s="160">
        <v>141.34</v>
      </c>
      <c r="F10" s="143">
        <v>2</v>
      </c>
      <c r="G10" s="143">
        <v>0.46600000000000003</v>
      </c>
      <c r="H10" s="143">
        <v>19</v>
      </c>
      <c r="I10" s="143">
        <v>5.5</v>
      </c>
      <c r="J10" s="143">
        <v>0.78</v>
      </c>
      <c r="K10" s="157">
        <f>(F10-G10)*1*((H10-G$5-H$5)-I10)*L$5/J10/1000</f>
        <v>74.34</v>
      </c>
      <c r="L10" s="157">
        <f>E10*K10</f>
        <v>10507.215600000001</v>
      </c>
      <c r="O10" s="154"/>
    </row>
    <row r="11" spans="2:15" x14ac:dyDescent="0.25">
      <c r="B11" s="154">
        <v>5</v>
      </c>
      <c r="C11" s="159">
        <f t="shared" si="0"/>
        <v>4605.5555555555557</v>
      </c>
      <c r="D11" s="160">
        <v>2072.5</v>
      </c>
      <c r="E11" s="160">
        <v>82.9</v>
      </c>
      <c r="F11" s="143">
        <v>2</v>
      </c>
      <c r="G11" s="143">
        <v>0.46600000000000003</v>
      </c>
      <c r="H11" s="143">
        <v>19</v>
      </c>
      <c r="I11" s="143">
        <v>5.5</v>
      </c>
      <c r="J11" s="143">
        <v>0.78</v>
      </c>
      <c r="K11" s="157">
        <f t="shared" ref="K11:K38" si="1">(F11-G11)*1*((H11-G$5-H$5)-I11)*L$5/J11/1000</f>
        <v>74.34</v>
      </c>
      <c r="L11" s="157">
        <f t="shared" ref="L11:L38" si="2">E11*K11</f>
        <v>6162.786000000001</v>
      </c>
      <c r="O11" s="154"/>
    </row>
    <row r="12" spans="2:15" x14ac:dyDescent="0.25">
      <c r="B12" s="154">
        <v>6</v>
      </c>
      <c r="C12" s="159">
        <f t="shared" si="0"/>
        <v>2389.4444444444443</v>
      </c>
      <c r="D12" s="160">
        <v>1075.25</v>
      </c>
      <c r="E12" s="160">
        <v>43.01</v>
      </c>
      <c r="F12" s="143">
        <v>2</v>
      </c>
      <c r="G12" s="143">
        <v>0.46600000000000003</v>
      </c>
      <c r="H12" s="143">
        <v>19</v>
      </c>
      <c r="I12" s="143">
        <v>5.5</v>
      </c>
      <c r="J12" s="143">
        <v>0.78</v>
      </c>
      <c r="K12" s="157">
        <f t="shared" si="1"/>
        <v>74.34</v>
      </c>
      <c r="L12" s="157">
        <f t="shared" si="2"/>
        <v>3197.3634000000002</v>
      </c>
      <c r="O12" s="154"/>
    </row>
    <row r="13" spans="2:15" x14ac:dyDescent="0.25">
      <c r="B13" s="154">
        <v>7</v>
      </c>
      <c r="C13" s="159">
        <f t="shared" si="0"/>
        <v>11200</v>
      </c>
      <c r="D13" s="160">
        <v>5040</v>
      </c>
      <c r="E13" s="160">
        <v>168.4</v>
      </c>
      <c r="F13" s="143">
        <v>2</v>
      </c>
      <c r="G13" s="143">
        <v>0.46600000000000003</v>
      </c>
      <c r="H13" s="143">
        <v>19</v>
      </c>
      <c r="I13" s="143">
        <v>5.5</v>
      </c>
      <c r="J13" s="143">
        <v>0.78</v>
      </c>
      <c r="K13" s="157">
        <f t="shared" si="1"/>
        <v>74.34</v>
      </c>
      <c r="L13" s="157">
        <f t="shared" si="2"/>
        <v>12518.856000000002</v>
      </c>
      <c r="O13" s="154"/>
    </row>
    <row r="14" spans="2:15" x14ac:dyDescent="0.25">
      <c r="B14" s="154">
        <v>8</v>
      </c>
      <c r="C14" s="159">
        <f t="shared" si="0"/>
        <v>8000</v>
      </c>
      <c r="D14" s="160">
        <v>3600</v>
      </c>
      <c r="E14" s="160">
        <v>130.74</v>
      </c>
      <c r="F14" s="143">
        <v>2</v>
      </c>
      <c r="G14" s="143">
        <v>0.46600000000000003</v>
      </c>
      <c r="H14" s="143">
        <v>19</v>
      </c>
      <c r="I14" s="143">
        <v>5.5</v>
      </c>
      <c r="J14" s="143">
        <v>0.78</v>
      </c>
      <c r="K14" s="157">
        <f t="shared" si="1"/>
        <v>74.34</v>
      </c>
      <c r="L14" s="157">
        <f t="shared" si="2"/>
        <v>9719.2116000000005</v>
      </c>
      <c r="O14" s="154"/>
    </row>
    <row r="15" spans="2:15" x14ac:dyDescent="0.25">
      <c r="B15" s="154">
        <v>9</v>
      </c>
      <c r="C15" s="159">
        <f t="shared" si="0"/>
        <v>2028</v>
      </c>
      <c r="D15" s="160">
        <v>912.6</v>
      </c>
      <c r="E15" s="160">
        <v>45.63</v>
      </c>
      <c r="F15" s="143">
        <v>2</v>
      </c>
      <c r="G15" s="143">
        <v>0.46600000000000003</v>
      </c>
      <c r="H15" s="143">
        <v>19</v>
      </c>
      <c r="I15" s="143">
        <v>5.5</v>
      </c>
      <c r="J15" s="143">
        <v>0.78</v>
      </c>
      <c r="K15" s="157">
        <f t="shared" si="1"/>
        <v>74.34</v>
      </c>
      <c r="L15" s="157">
        <f t="shared" si="2"/>
        <v>3392.1342000000004</v>
      </c>
      <c r="O15" s="154"/>
    </row>
    <row r="16" spans="2:15" x14ac:dyDescent="0.25">
      <c r="B16" s="154">
        <v>10</v>
      </c>
      <c r="C16" s="159">
        <f t="shared" si="0"/>
        <v>7266.6666666666661</v>
      </c>
      <c r="D16" s="160">
        <v>3270</v>
      </c>
      <c r="E16" s="160">
        <v>109</v>
      </c>
      <c r="F16" s="143">
        <v>2</v>
      </c>
      <c r="G16" s="143">
        <v>0.46600000000000003</v>
      </c>
      <c r="H16" s="143">
        <v>19</v>
      </c>
      <c r="I16" s="143">
        <v>5.5</v>
      </c>
      <c r="J16" s="143">
        <v>0.78</v>
      </c>
      <c r="K16" s="157">
        <f t="shared" si="1"/>
        <v>74.34</v>
      </c>
      <c r="L16" s="157">
        <f t="shared" si="2"/>
        <v>8103.06</v>
      </c>
      <c r="O16" s="154"/>
    </row>
    <row r="17" spans="2:15" x14ac:dyDescent="0.25">
      <c r="B17" s="154">
        <v>11</v>
      </c>
      <c r="C17" s="159">
        <f t="shared" si="0"/>
        <v>7666.6666666666661</v>
      </c>
      <c r="D17" s="160">
        <v>3450</v>
      </c>
      <c r="E17" s="160">
        <v>115</v>
      </c>
      <c r="F17" s="143">
        <v>2</v>
      </c>
      <c r="G17" s="143">
        <v>0.46600000000000003</v>
      </c>
      <c r="H17" s="143">
        <v>19</v>
      </c>
      <c r="I17" s="143">
        <v>5.5</v>
      </c>
      <c r="J17" s="143">
        <v>0.78</v>
      </c>
      <c r="K17" s="157">
        <f t="shared" si="1"/>
        <v>74.34</v>
      </c>
      <c r="L17" s="157">
        <f t="shared" si="2"/>
        <v>8549.1</v>
      </c>
      <c r="O17" s="154"/>
    </row>
    <row r="18" spans="2:15" x14ac:dyDescent="0.25">
      <c r="B18" s="154">
        <v>12</v>
      </c>
      <c r="C18" s="159">
        <f t="shared" si="0"/>
        <v>5333.333333333333</v>
      </c>
      <c r="D18" s="160">
        <v>2400</v>
      </c>
      <c r="E18" s="160">
        <v>175.65</v>
      </c>
      <c r="F18" s="143">
        <v>2</v>
      </c>
      <c r="G18" s="143">
        <v>0.46600000000000003</v>
      </c>
      <c r="H18" s="143">
        <v>19</v>
      </c>
      <c r="I18" s="143">
        <v>5.5</v>
      </c>
      <c r="J18" s="143">
        <v>0.78</v>
      </c>
      <c r="K18" s="157">
        <f t="shared" si="1"/>
        <v>74.34</v>
      </c>
      <c r="L18" s="157">
        <f t="shared" si="2"/>
        <v>13057.821000000002</v>
      </c>
      <c r="O18" s="154"/>
    </row>
    <row r="19" spans="2:15" x14ac:dyDescent="0.25">
      <c r="B19" s="154">
        <v>13</v>
      </c>
      <c r="C19" s="159">
        <f t="shared" si="0"/>
        <v>7011.333333333333</v>
      </c>
      <c r="D19" s="160">
        <v>3155.1</v>
      </c>
      <c r="E19" s="160">
        <v>105.17</v>
      </c>
      <c r="F19" s="143">
        <v>2</v>
      </c>
      <c r="G19" s="143">
        <v>0.46600000000000003</v>
      </c>
      <c r="H19" s="143">
        <v>19</v>
      </c>
      <c r="I19" s="143">
        <v>5.5</v>
      </c>
      <c r="J19" s="143">
        <v>0.78</v>
      </c>
      <c r="K19" s="157">
        <f t="shared" si="1"/>
        <v>74.34</v>
      </c>
      <c r="L19" s="157">
        <f t="shared" si="2"/>
        <v>7818.3378000000002</v>
      </c>
      <c r="O19" s="154"/>
    </row>
    <row r="20" spans="2:15" x14ac:dyDescent="0.25">
      <c r="B20" s="154">
        <v>14</v>
      </c>
      <c r="C20" s="159">
        <f t="shared" si="0"/>
        <v>6938.666666666667</v>
      </c>
      <c r="D20" s="160">
        <v>3122.4</v>
      </c>
      <c r="E20" s="160">
        <v>104.08</v>
      </c>
      <c r="F20" s="143">
        <v>2</v>
      </c>
      <c r="G20" s="143">
        <v>0.46600000000000003</v>
      </c>
      <c r="H20" s="143">
        <v>19</v>
      </c>
      <c r="I20" s="143">
        <v>5.5</v>
      </c>
      <c r="J20" s="143">
        <v>0.78</v>
      </c>
      <c r="K20" s="157">
        <f t="shared" si="1"/>
        <v>74.34</v>
      </c>
      <c r="L20" s="157">
        <f t="shared" si="2"/>
        <v>7737.3072000000002</v>
      </c>
      <c r="O20" s="154"/>
    </row>
    <row r="21" spans="2:15" x14ac:dyDescent="0.25">
      <c r="B21" s="154">
        <v>15</v>
      </c>
      <c r="C21" s="159">
        <f t="shared" si="0"/>
        <v>5405.333333333333</v>
      </c>
      <c r="D21" s="160">
        <v>2432.4</v>
      </c>
      <c r="E21" s="160">
        <v>81.08</v>
      </c>
      <c r="F21" s="143">
        <v>2</v>
      </c>
      <c r="G21" s="143">
        <v>0.46600000000000003</v>
      </c>
      <c r="H21" s="143">
        <v>19</v>
      </c>
      <c r="I21" s="143">
        <v>5.5</v>
      </c>
      <c r="J21" s="143">
        <v>0.78</v>
      </c>
      <c r="K21" s="157">
        <f t="shared" si="1"/>
        <v>74.34</v>
      </c>
      <c r="L21" s="157">
        <f t="shared" si="2"/>
        <v>6027.4872000000005</v>
      </c>
      <c r="O21" s="154"/>
    </row>
    <row r="22" spans="2:15" x14ac:dyDescent="0.25">
      <c r="B22" s="154">
        <v>16</v>
      </c>
      <c r="C22" s="159">
        <f t="shared" si="0"/>
        <v>2666.6666666666665</v>
      </c>
      <c r="D22" s="160">
        <v>1200</v>
      </c>
      <c r="E22" s="160">
        <v>124.68</v>
      </c>
      <c r="F22" s="143">
        <v>2</v>
      </c>
      <c r="G22" s="143">
        <v>0.46600000000000003</v>
      </c>
      <c r="H22" s="143">
        <v>19</v>
      </c>
      <c r="I22" s="143">
        <v>5.5</v>
      </c>
      <c r="J22" s="143">
        <v>0.78</v>
      </c>
      <c r="K22" s="157">
        <f t="shared" si="1"/>
        <v>74.34</v>
      </c>
      <c r="L22" s="157">
        <f t="shared" si="2"/>
        <v>9268.7112000000016</v>
      </c>
      <c r="O22" s="154"/>
    </row>
    <row r="23" spans="2:15" x14ac:dyDescent="0.25">
      <c r="B23" s="154">
        <v>17</v>
      </c>
      <c r="C23" s="159">
        <f t="shared" si="0"/>
        <v>8000</v>
      </c>
      <c r="D23" s="160">
        <v>3600</v>
      </c>
      <c r="E23" s="160">
        <v>240</v>
      </c>
      <c r="F23" s="143">
        <v>2</v>
      </c>
      <c r="G23" s="143">
        <v>0.46600000000000003</v>
      </c>
      <c r="H23" s="143">
        <v>19</v>
      </c>
      <c r="I23" s="143">
        <v>5.5</v>
      </c>
      <c r="J23" s="143">
        <v>0.78</v>
      </c>
      <c r="K23" s="157">
        <f t="shared" si="1"/>
        <v>74.34</v>
      </c>
      <c r="L23" s="157">
        <f t="shared" si="2"/>
        <v>17841.600000000002</v>
      </c>
      <c r="O23" s="154"/>
    </row>
    <row r="24" spans="2:15" x14ac:dyDescent="0.25">
      <c r="B24" s="154">
        <v>18</v>
      </c>
      <c r="C24" s="159">
        <f t="shared" si="0"/>
        <v>6063.333333333333</v>
      </c>
      <c r="D24" s="160">
        <v>2728.5</v>
      </c>
      <c r="E24" s="160">
        <v>90.95</v>
      </c>
      <c r="F24" s="143">
        <v>2</v>
      </c>
      <c r="G24" s="143">
        <v>0.46600000000000003</v>
      </c>
      <c r="H24" s="143">
        <v>19</v>
      </c>
      <c r="I24" s="143">
        <v>5.5</v>
      </c>
      <c r="J24" s="143">
        <v>0.78</v>
      </c>
      <c r="K24" s="157">
        <f t="shared" si="1"/>
        <v>74.34</v>
      </c>
      <c r="L24" s="157">
        <f t="shared" si="2"/>
        <v>6761.2230000000009</v>
      </c>
      <c r="O24" s="154"/>
    </row>
    <row r="25" spans="2:15" x14ac:dyDescent="0.25">
      <c r="B25" s="154">
        <v>19</v>
      </c>
      <c r="C25" s="159">
        <f t="shared" si="0"/>
        <v>503.55555555555554</v>
      </c>
      <c r="D25" s="160">
        <v>226.6</v>
      </c>
      <c r="E25" s="160">
        <v>22.66</v>
      </c>
      <c r="F25" s="143">
        <v>2</v>
      </c>
      <c r="G25" s="143">
        <v>0.46600000000000003</v>
      </c>
      <c r="H25" s="143">
        <v>19</v>
      </c>
      <c r="I25" s="143">
        <v>5.5</v>
      </c>
      <c r="J25" s="143">
        <v>0.78</v>
      </c>
      <c r="K25" s="157">
        <f t="shared" si="1"/>
        <v>74.34</v>
      </c>
      <c r="L25" s="157">
        <f t="shared" si="2"/>
        <v>1684.5444</v>
      </c>
      <c r="O25" s="154"/>
    </row>
    <row r="26" spans="2:15" x14ac:dyDescent="0.25">
      <c r="B26" s="154">
        <v>20</v>
      </c>
      <c r="C26" s="159">
        <f t="shared" si="0"/>
        <v>5777.7777777777774</v>
      </c>
      <c r="D26" s="160">
        <v>2600</v>
      </c>
      <c r="E26" s="160">
        <v>52</v>
      </c>
      <c r="F26" s="143">
        <v>2</v>
      </c>
      <c r="G26" s="143">
        <v>0.46600000000000003</v>
      </c>
      <c r="H26" s="143">
        <v>19</v>
      </c>
      <c r="I26" s="143">
        <v>5.5</v>
      </c>
      <c r="J26" s="143">
        <v>0.78</v>
      </c>
      <c r="K26" s="157">
        <f t="shared" si="1"/>
        <v>74.34</v>
      </c>
      <c r="L26" s="157">
        <f t="shared" si="2"/>
        <v>3865.6800000000003</v>
      </c>
      <c r="O26" s="154"/>
    </row>
    <row r="27" spans="2:15" x14ac:dyDescent="0.25">
      <c r="B27" s="154">
        <v>21</v>
      </c>
      <c r="C27" s="159">
        <f t="shared" si="0"/>
        <v>4533.333333333333</v>
      </c>
      <c r="D27" s="160">
        <v>2040</v>
      </c>
      <c r="E27" s="160">
        <v>68</v>
      </c>
      <c r="F27" s="143">
        <v>2</v>
      </c>
      <c r="G27" s="143">
        <v>0.46600000000000003</v>
      </c>
      <c r="H27" s="143">
        <v>19</v>
      </c>
      <c r="I27" s="143">
        <v>5.5</v>
      </c>
      <c r="J27" s="143">
        <v>0.78</v>
      </c>
      <c r="K27" s="157">
        <f t="shared" si="1"/>
        <v>74.34</v>
      </c>
      <c r="L27" s="157">
        <f t="shared" si="2"/>
        <v>5055.12</v>
      </c>
      <c r="O27" s="154"/>
    </row>
    <row r="28" spans="2:15" x14ac:dyDescent="0.25">
      <c r="B28" s="154">
        <v>22</v>
      </c>
      <c r="C28" s="159">
        <f t="shared" si="0"/>
        <v>13333.333333333332</v>
      </c>
      <c r="D28" s="160">
        <v>6000</v>
      </c>
      <c r="E28" s="160">
        <v>334.51</v>
      </c>
      <c r="F28" s="143">
        <v>2</v>
      </c>
      <c r="G28" s="143">
        <v>0.46600000000000003</v>
      </c>
      <c r="H28" s="143">
        <v>19</v>
      </c>
      <c r="I28" s="143">
        <v>5.5</v>
      </c>
      <c r="J28" s="143">
        <v>0.78</v>
      </c>
      <c r="K28" s="157">
        <f t="shared" si="1"/>
        <v>74.34</v>
      </c>
      <c r="L28" s="157">
        <f t="shared" si="2"/>
        <v>24867.473399999999</v>
      </c>
      <c r="O28" s="154"/>
    </row>
    <row r="29" spans="2:15" x14ac:dyDescent="0.25">
      <c r="B29" s="154">
        <v>23</v>
      </c>
      <c r="C29" s="159">
        <f t="shared" si="0"/>
        <v>2666.6666666666665</v>
      </c>
      <c r="D29" s="160">
        <v>1200</v>
      </c>
      <c r="E29" s="160">
        <v>120</v>
      </c>
      <c r="F29" s="143">
        <v>2</v>
      </c>
      <c r="G29" s="143">
        <v>0.46600000000000003</v>
      </c>
      <c r="H29" s="143">
        <v>19</v>
      </c>
      <c r="I29" s="143">
        <v>5.5</v>
      </c>
      <c r="J29" s="143">
        <v>0.78</v>
      </c>
      <c r="K29" s="157">
        <f t="shared" si="1"/>
        <v>74.34</v>
      </c>
      <c r="L29" s="157">
        <f t="shared" si="2"/>
        <v>8920.8000000000011</v>
      </c>
      <c r="O29" s="154"/>
    </row>
    <row r="30" spans="2:15" x14ac:dyDescent="0.25">
      <c r="B30" s="154">
        <v>24</v>
      </c>
      <c r="C30" s="159">
        <f t="shared" si="0"/>
        <v>2329.1111111111109</v>
      </c>
      <c r="D30" s="160">
        <v>1048.0999999999999</v>
      </c>
      <c r="E30" s="160">
        <v>104.81</v>
      </c>
      <c r="F30" s="143">
        <v>2</v>
      </c>
      <c r="G30" s="143">
        <v>0.46600000000000003</v>
      </c>
      <c r="H30" s="143">
        <v>19</v>
      </c>
      <c r="I30" s="143">
        <v>5.5</v>
      </c>
      <c r="J30" s="143">
        <v>0.78</v>
      </c>
      <c r="K30" s="157">
        <f t="shared" si="1"/>
        <v>74.34</v>
      </c>
      <c r="L30" s="157">
        <f t="shared" si="2"/>
        <v>7791.5754000000006</v>
      </c>
      <c r="O30" s="154"/>
    </row>
    <row r="31" spans="2:15" x14ac:dyDescent="0.25">
      <c r="B31" s="154">
        <v>25</v>
      </c>
      <c r="C31" s="159">
        <f t="shared" si="0"/>
        <v>12777.777777777777</v>
      </c>
      <c r="D31" s="160">
        <v>5750</v>
      </c>
      <c r="E31" s="160">
        <v>115</v>
      </c>
      <c r="F31" s="143">
        <v>2</v>
      </c>
      <c r="G31" s="143">
        <v>0.46600000000000003</v>
      </c>
      <c r="H31" s="143">
        <v>19</v>
      </c>
      <c r="I31" s="143">
        <v>5.5</v>
      </c>
      <c r="J31" s="143">
        <v>0.78</v>
      </c>
      <c r="K31" s="157">
        <f t="shared" si="1"/>
        <v>74.34</v>
      </c>
      <c r="L31" s="157">
        <f t="shared" si="2"/>
        <v>8549.1</v>
      </c>
      <c r="O31" s="154"/>
    </row>
    <row r="32" spans="2:15" x14ac:dyDescent="0.25">
      <c r="B32" s="154">
        <v>26</v>
      </c>
      <c r="C32" s="159">
        <f t="shared" si="0"/>
        <v>8311.1111111111113</v>
      </c>
      <c r="D32" s="160">
        <v>3740</v>
      </c>
      <c r="E32" s="160">
        <v>74.8</v>
      </c>
      <c r="F32" s="143">
        <v>2</v>
      </c>
      <c r="G32" s="143">
        <v>0.46600000000000003</v>
      </c>
      <c r="H32" s="143">
        <v>19</v>
      </c>
      <c r="I32" s="143">
        <v>5.5</v>
      </c>
      <c r="J32" s="143">
        <v>0.78</v>
      </c>
      <c r="K32" s="157">
        <f t="shared" si="1"/>
        <v>74.34</v>
      </c>
      <c r="L32" s="157">
        <f t="shared" si="2"/>
        <v>5560.6319999999996</v>
      </c>
      <c r="O32" s="154"/>
    </row>
    <row r="33" spans="2:15" x14ac:dyDescent="0.25">
      <c r="B33" s="154">
        <v>27</v>
      </c>
      <c r="C33" s="159">
        <f t="shared" si="0"/>
        <v>13333.333333333332</v>
      </c>
      <c r="D33" s="160">
        <v>6000</v>
      </c>
      <c r="E33" s="160">
        <v>102</v>
      </c>
      <c r="F33" s="143">
        <v>2</v>
      </c>
      <c r="G33" s="143">
        <v>0.46600000000000003</v>
      </c>
      <c r="H33" s="143">
        <v>19</v>
      </c>
      <c r="I33" s="143">
        <v>5.5</v>
      </c>
      <c r="J33" s="143">
        <v>0.78</v>
      </c>
      <c r="K33" s="157">
        <f t="shared" si="1"/>
        <v>74.34</v>
      </c>
      <c r="L33" s="157">
        <f t="shared" si="2"/>
        <v>7582.68</v>
      </c>
      <c r="O33" s="154"/>
    </row>
    <row r="34" spans="2:15" x14ac:dyDescent="0.25">
      <c r="B34" s="154">
        <v>28</v>
      </c>
      <c r="C34" s="159">
        <f t="shared" si="0"/>
        <v>5331.1111111111113</v>
      </c>
      <c r="D34" s="160">
        <v>2399</v>
      </c>
      <c r="E34" s="160">
        <v>119.95</v>
      </c>
      <c r="F34" s="143">
        <v>2</v>
      </c>
      <c r="G34" s="143">
        <v>0.46600000000000003</v>
      </c>
      <c r="H34" s="143">
        <v>19</v>
      </c>
      <c r="I34" s="143">
        <v>5.5</v>
      </c>
      <c r="J34" s="143">
        <v>0.78</v>
      </c>
      <c r="K34" s="157">
        <f t="shared" si="1"/>
        <v>74.34</v>
      </c>
      <c r="L34" s="157">
        <f t="shared" si="2"/>
        <v>8917.0830000000005</v>
      </c>
      <c r="O34" s="154"/>
    </row>
    <row r="35" spans="2:15" x14ac:dyDescent="0.25">
      <c r="B35" s="154">
        <v>29</v>
      </c>
      <c r="C35" s="159">
        <f t="shared" si="0"/>
        <v>2416.6666666666665</v>
      </c>
      <c r="D35" s="160">
        <v>1087.5</v>
      </c>
      <c r="E35" s="160">
        <v>36.25</v>
      </c>
      <c r="F35" s="143">
        <v>2</v>
      </c>
      <c r="G35" s="143">
        <v>0.46600000000000003</v>
      </c>
      <c r="H35" s="143">
        <v>19</v>
      </c>
      <c r="I35" s="143">
        <v>5.5</v>
      </c>
      <c r="J35" s="143">
        <v>0.78</v>
      </c>
      <c r="K35" s="157">
        <f t="shared" si="1"/>
        <v>74.34</v>
      </c>
      <c r="L35" s="157">
        <f t="shared" si="2"/>
        <v>2694.8250000000003</v>
      </c>
      <c r="O35" s="154"/>
    </row>
    <row r="36" spans="2:15" x14ac:dyDescent="0.25">
      <c r="B36" s="154">
        <v>30</v>
      </c>
      <c r="C36" s="159">
        <f t="shared" si="0"/>
        <v>2637.7777777777778</v>
      </c>
      <c r="D36" s="160">
        <v>1187</v>
      </c>
      <c r="E36" s="160">
        <v>118.7</v>
      </c>
      <c r="F36" s="143">
        <v>2</v>
      </c>
      <c r="G36" s="143">
        <v>0.46600000000000003</v>
      </c>
      <c r="H36" s="143">
        <v>19</v>
      </c>
      <c r="I36" s="143">
        <v>5.5</v>
      </c>
      <c r="J36" s="143">
        <v>0.78</v>
      </c>
      <c r="K36" s="157">
        <f t="shared" si="1"/>
        <v>74.34</v>
      </c>
      <c r="L36" s="157">
        <f t="shared" si="2"/>
        <v>8824.1580000000013</v>
      </c>
      <c r="O36" s="154"/>
    </row>
    <row r="37" spans="2:15" x14ac:dyDescent="0.25">
      <c r="B37" s="154">
        <v>31</v>
      </c>
      <c r="C37" s="159">
        <f t="shared" si="0"/>
        <v>13333.333333333332</v>
      </c>
      <c r="D37" s="160">
        <v>6000</v>
      </c>
      <c r="E37" s="160">
        <v>120</v>
      </c>
      <c r="F37" s="143">
        <v>2</v>
      </c>
      <c r="G37" s="143">
        <v>0.46600000000000003</v>
      </c>
      <c r="H37" s="143">
        <v>19</v>
      </c>
      <c r="I37" s="143">
        <v>5.5</v>
      </c>
      <c r="J37" s="143">
        <v>0.78</v>
      </c>
      <c r="K37" s="157">
        <f t="shared" si="1"/>
        <v>74.34</v>
      </c>
      <c r="L37" s="157">
        <f t="shared" si="2"/>
        <v>8920.8000000000011</v>
      </c>
      <c r="O37" s="154"/>
    </row>
    <row r="38" spans="2:15" x14ac:dyDescent="0.25">
      <c r="B38" s="154">
        <v>32</v>
      </c>
      <c r="C38" s="159">
        <f t="shared" si="0"/>
        <v>2124.4444444444443</v>
      </c>
      <c r="D38" s="160">
        <v>956</v>
      </c>
      <c r="E38" s="160">
        <v>95.6</v>
      </c>
      <c r="F38" s="143">
        <v>2</v>
      </c>
      <c r="G38" s="143">
        <v>0.46600000000000003</v>
      </c>
      <c r="H38" s="143">
        <v>19</v>
      </c>
      <c r="I38" s="143">
        <v>5.5</v>
      </c>
      <c r="J38" s="143">
        <v>0.78</v>
      </c>
      <c r="K38" s="157">
        <f t="shared" si="1"/>
        <v>74.34</v>
      </c>
      <c r="L38" s="157">
        <f t="shared" si="2"/>
        <v>7106.9039999999995</v>
      </c>
      <c r="O38" s="154"/>
    </row>
    <row r="39" spans="2:15" x14ac:dyDescent="0.25">
      <c r="B39" s="154"/>
      <c r="C39" s="159">
        <f t="shared" si="0"/>
        <v>1918.5333333333333</v>
      </c>
      <c r="D39" s="337">
        <v>863.34</v>
      </c>
      <c r="E39" s="337">
        <v>43.167000000000002</v>
      </c>
      <c r="F39" s="143">
        <v>2</v>
      </c>
      <c r="G39" s="143">
        <v>0.46600000000000003</v>
      </c>
      <c r="H39" s="143">
        <v>19</v>
      </c>
      <c r="I39" s="143">
        <v>5.5</v>
      </c>
      <c r="J39" s="143">
        <v>0.78</v>
      </c>
      <c r="K39" s="157">
        <f t="shared" ref="K39:K94" si="3">(F39-G39)*1*((H39-G$5-H$5)-I39)*L$5/J39/1000</f>
        <v>74.34</v>
      </c>
      <c r="L39" s="157">
        <f t="shared" ref="L39:L94" si="4">E39*K39</f>
        <v>3209.0347800000004</v>
      </c>
      <c r="O39" s="154"/>
    </row>
    <row r="40" spans="2:15" x14ac:dyDescent="0.25">
      <c r="B40" s="154"/>
      <c r="C40" s="159">
        <f t="shared" si="0"/>
        <v>5666.666666666667</v>
      </c>
      <c r="D40" s="337">
        <v>2550</v>
      </c>
      <c r="E40" s="337">
        <v>19</v>
      </c>
      <c r="F40" s="143">
        <v>2</v>
      </c>
      <c r="G40" s="143">
        <v>0.46600000000000003</v>
      </c>
      <c r="H40" s="143">
        <v>19</v>
      </c>
      <c r="I40" s="143">
        <v>5.5</v>
      </c>
      <c r="J40" s="143">
        <v>0.78</v>
      </c>
      <c r="K40" s="157">
        <f t="shared" si="3"/>
        <v>74.34</v>
      </c>
      <c r="L40" s="157">
        <f t="shared" si="4"/>
        <v>1412.46</v>
      </c>
      <c r="O40" s="154"/>
    </row>
    <row r="41" spans="2:15" x14ac:dyDescent="0.25">
      <c r="B41" s="154"/>
      <c r="C41" s="159">
        <f t="shared" si="0"/>
        <v>2333.3333333333335</v>
      </c>
      <c r="D41" s="337">
        <v>1050</v>
      </c>
      <c r="E41" s="337">
        <v>52.5</v>
      </c>
      <c r="F41" s="143">
        <v>2</v>
      </c>
      <c r="G41" s="143">
        <v>0.46600000000000003</v>
      </c>
      <c r="H41" s="143">
        <v>19</v>
      </c>
      <c r="I41" s="143">
        <v>5.5</v>
      </c>
      <c r="J41" s="143">
        <v>0.78</v>
      </c>
      <c r="K41" s="157">
        <f t="shared" si="3"/>
        <v>74.34</v>
      </c>
      <c r="L41" s="157">
        <f t="shared" si="4"/>
        <v>3902.8500000000004</v>
      </c>
      <c r="O41" s="154"/>
    </row>
    <row r="42" spans="2:15" x14ac:dyDescent="0.25">
      <c r="B42" s="154"/>
      <c r="C42" s="159">
        <f t="shared" si="0"/>
        <v>9066.6666666666661</v>
      </c>
      <c r="D42" s="337">
        <v>4080</v>
      </c>
      <c r="E42" s="337">
        <v>24</v>
      </c>
      <c r="F42" s="143">
        <v>2</v>
      </c>
      <c r="G42" s="143">
        <v>0.46600000000000003</v>
      </c>
      <c r="H42" s="143">
        <v>19</v>
      </c>
      <c r="I42" s="143">
        <v>5.5</v>
      </c>
      <c r="J42" s="143">
        <v>0.78</v>
      </c>
      <c r="K42" s="157">
        <f t="shared" si="3"/>
        <v>74.34</v>
      </c>
      <c r="L42" s="157">
        <f t="shared" si="4"/>
        <v>1784.16</v>
      </c>
      <c r="O42" s="154"/>
    </row>
    <row r="43" spans="2:15" x14ac:dyDescent="0.25">
      <c r="B43" s="154"/>
      <c r="C43" s="159">
        <f t="shared" si="0"/>
        <v>8000</v>
      </c>
      <c r="D43" s="337">
        <v>3600</v>
      </c>
      <c r="E43" s="337">
        <v>136</v>
      </c>
      <c r="F43" s="143">
        <v>2</v>
      </c>
      <c r="G43" s="143">
        <v>0.46600000000000003</v>
      </c>
      <c r="H43" s="143">
        <v>19</v>
      </c>
      <c r="I43" s="143">
        <v>5.5</v>
      </c>
      <c r="J43" s="143">
        <v>0.78</v>
      </c>
      <c r="K43" s="157">
        <f t="shared" si="3"/>
        <v>74.34</v>
      </c>
      <c r="L43" s="157">
        <f t="shared" si="4"/>
        <v>10110.24</v>
      </c>
      <c r="O43" s="154"/>
    </row>
    <row r="44" spans="2:15" x14ac:dyDescent="0.25">
      <c r="B44" s="154"/>
      <c r="C44" s="159">
        <f t="shared" si="0"/>
        <v>2666.6666666666665</v>
      </c>
      <c r="D44" s="337">
        <v>1200</v>
      </c>
      <c r="E44" s="337">
        <v>178.5</v>
      </c>
      <c r="F44" s="143">
        <v>2</v>
      </c>
      <c r="G44" s="143">
        <v>0.46600000000000003</v>
      </c>
      <c r="H44" s="143">
        <v>19</v>
      </c>
      <c r="I44" s="143">
        <v>5.5</v>
      </c>
      <c r="J44" s="143">
        <v>0.78</v>
      </c>
      <c r="K44" s="157">
        <f t="shared" si="3"/>
        <v>74.34</v>
      </c>
      <c r="L44" s="157">
        <f t="shared" si="4"/>
        <v>13269.69</v>
      </c>
      <c r="O44" s="154"/>
    </row>
    <row r="45" spans="2:15" x14ac:dyDescent="0.25">
      <c r="B45" s="154"/>
      <c r="C45" s="159">
        <f t="shared" si="0"/>
        <v>11822.222222222223</v>
      </c>
      <c r="D45" s="337">
        <v>5320</v>
      </c>
      <c r="E45" s="337">
        <v>86</v>
      </c>
      <c r="F45" s="143">
        <v>2</v>
      </c>
      <c r="G45" s="143">
        <v>0.46600000000000003</v>
      </c>
      <c r="H45" s="143">
        <v>19</v>
      </c>
      <c r="I45" s="143">
        <v>5.5</v>
      </c>
      <c r="J45" s="143">
        <v>0.78</v>
      </c>
      <c r="K45" s="157">
        <f t="shared" si="3"/>
        <v>74.34</v>
      </c>
      <c r="L45" s="157">
        <f t="shared" si="4"/>
        <v>6393.2400000000007</v>
      </c>
      <c r="O45" s="154"/>
    </row>
    <row r="46" spans="2:15" x14ac:dyDescent="0.25">
      <c r="B46" s="154"/>
      <c r="C46" s="159">
        <f t="shared" si="0"/>
        <v>8256.6666666666661</v>
      </c>
      <c r="D46" s="337">
        <v>3715.5</v>
      </c>
      <c r="E46" s="337">
        <v>74.31</v>
      </c>
      <c r="F46" s="143">
        <v>2</v>
      </c>
      <c r="G46" s="143">
        <v>0.46600000000000003</v>
      </c>
      <c r="H46" s="143">
        <v>19</v>
      </c>
      <c r="I46" s="143">
        <v>5.5</v>
      </c>
      <c r="J46" s="143">
        <v>0.78</v>
      </c>
      <c r="K46" s="157">
        <f t="shared" si="3"/>
        <v>74.34</v>
      </c>
      <c r="L46" s="157">
        <f t="shared" si="4"/>
        <v>5524.2054000000007</v>
      </c>
      <c r="O46" s="154"/>
    </row>
    <row r="47" spans="2:15" x14ac:dyDescent="0.25">
      <c r="B47" s="154"/>
      <c r="C47" s="159">
        <f t="shared" si="0"/>
        <v>13333.333333333332</v>
      </c>
      <c r="D47" s="337">
        <v>6000</v>
      </c>
      <c r="E47" s="337">
        <v>153.85</v>
      </c>
      <c r="F47" s="143">
        <v>2</v>
      </c>
      <c r="G47" s="143">
        <v>0.46600000000000003</v>
      </c>
      <c r="H47" s="143">
        <v>19</v>
      </c>
      <c r="I47" s="143">
        <v>5.5</v>
      </c>
      <c r="J47" s="143">
        <v>0.78</v>
      </c>
      <c r="K47" s="157">
        <f t="shared" si="3"/>
        <v>74.34</v>
      </c>
      <c r="L47" s="157">
        <f t="shared" si="4"/>
        <v>11437.209000000001</v>
      </c>
      <c r="O47" s="154"/>
    </row>
    <row r="48" spans="2:15" x14ac:dyDescent="0.25">
      <c r="B48" s="154"/>
      <c r="C48" s="159">
        <f t="shared" si="0"/>
        <v>5400</v>
      </c>
      <c r="D48" s="337">
        <v>2430</v>
      </c>
      <c r="E48" s="337">
        <v>81</v>
      </c>
      <c r="F48" s="143">
        <v>2</v>
      </c>
      <c r="G48" s="143">
        <v>0.46600000000000003</v>
      </c>
      <c r="H48" s="143">
        <v>19</v>
      </c>
      <c r="I48" s="143">
        <v>5.5</v>
      </c>
      <c r="J48" s="143">
        <v>0.78</v>
      </c>
      <c r="K48" s="157">
        <f t="shared" si="3"/>
        <v>74.34</v>
      </c>
      <c r="L48" s="157">
        <f t="shared" si="4"/>
        <v>6021.54</v>
      </c>
      <c r="O48" s="154"/>
    </row>
    <row r="49" spans="2:15" x14ac:dyDescent="0.25">
      <c r="B49" s="154"/>
      <c r="C49" s="159">
        <f t="shared" si="0"/>
        <v>7188.8888888888887</v>
      </c>
      <c r="D49" s="337">
        <v>3235</v>
      </c>
      <c r="E49" s="337">
        <v>82</v>
      </c>
      <c r="F49" s="143">
        <v>2</v>
      </c>
      <c r="G49" s="143">
        <v>0.46600000000000003</v>
      </c>
      <c r="H49" s="143">
        <v>19</v>
      </c>
      <c r="I49" s="143">
        <v>5.5</v>
      </c>
      <c r="J49" s="143">
        <v>0.78</v>
      </c>
      <c r="K49" s="157">
        <f t="shared" si="3"/>
        <v>74.34</v>
      </c>
      <c r="L49" s="157">
        <f t="shared" si="4"/>
        <v>6095.88</v>
      </c>
      <c r="O49" s="154"/>
    </row>
    <row r="50" spans="2:15" x14ac:dyDescent="0.25">
      <c r="B50" s="154"/>
      <c r="C50" s="159">
        <f t="shared" si="0"/>
        <v>5400</v>
      </c>
      <c r="D50" s="337">
        <v>2430</v>
      </c>
      <c r="E50" s="337">
        <v>81</v>
      </c>
      <c r="F50" s="143">
        <v>2</v>
      </c>
      <c r="G50" s="143">
        <v>0.46600000000000003</v>
      </c>
      <c r="H50" s="143">
        <v>19</v>
      </c>
      <c r="I50" s="143">
        <v>5.5</v>
      </c>
      <c r="J50" s="143">
        <v>0.78</v>
      </c>
      <c r="K50" s="157">
        <f t="shared" si="3"/>
        <v>74.34</v>
      </c>
      <c r="L50" s="157">
        <f t="shared" si="4"/>
        <v>6021.54</v>
      </c>
      <c r="O50" s="154"/>
    </row>
    <row r="51" spans="2:15" x14ac:dyDescent="0.25">
      <c r="B51" s="154"/>
      <c r="C51" s="159">
        <f t="shared" si="0"/>
        <v>7153.333333333333</v>
      </c>
      <c r="D51" s="337">
        <v>3219</v>
      </c>
      <c r="E51" s="337">
        <v>128.76</v>
      </c>
      <c r="F51" s="143">
        <v>2</v>
      </c>
      <c r="G51" s="143">
        <v>0.46600000000000003</v>
      </c>
      <c r="H51" s="143">
        <v>19</v>
      </c>
      <c r="I51" s="143">
        <v>5.5</v>
      </c>
      <c r="J51" s="143">
        <v>0.78</v>
      </c>
      <c r="K51" s="157">
        <f t="shared" si="3"/>
        <v>74.34</v>
      </c>
      <c r="L51" s="157">
        <f t="shared" si="4"/>
        <v>9572.018399999999</v>
      </c>
      <c r="O51" s="154"/>
    </row>
    <row r="52" spans="2:15" x14ac:dyDescent="0.25">
      <c r="B52" s="154"/>
      <c r="C52" s="159">
        <f t="shared" si="0"/>
        <v>8856.8888888888887</v>
      </c>
      <c r="D52" s="337">
        <v>3985.6</v>
      </c>
      <c r="E52" s="337">
        <v>80</v>
      </c>
      <c r="F52" s="143">
        <v>2</v>
      </c>
      <c r="G52" s="143">
        <v>0.46600000000000003</v>
      </c>
      <c r="H52" s="143">
        <v>19</v>
      </c>
      <c r="I52" s="143">
        <v>5.5</v>
      </c>
      <c r="J52" s="143">
        <v>0.78</v>
      </c>
      <c r="K52" s="157">
        <f t="shared" si="3"/>
        <v>74.34</v>
      </c>
      <c r="L52" s="157">
        <f t="shared" si="4"/>
        <v>5947.2000000000007</v>
      </c>
      <c r="O52" s="154"/>
    </row>
    <row r="53" spans="2:15" x14ac:dyDescent="0.25">
      <c r="B53" s="154"/>
      <c r="C53" s="159">
        <f t="shared" si="0"/>
        <v>11584.444444444443</v>
      </c>
      <c r="D53" s="337">
        <v>5213</v>
      </c>
      <c r="E53" s="337">
        <v>104.26</v>
      </c>
      <c r="F53" s="143">
        <v>2</v>
      </c>
      <c r="G53" s="143">
        <v>0.46600000000000003</v>
      </c>
      <c r="H53" s="143">
        <v>19</v>
      </c>
      <c r="I53" s="143">
        <v>5.5</v>
      </c>
      <c r="J53" s="143">
        <v>0.78</v>
      </c>
      <c r="K53" s="157">
        <f t="shared" si="3"/>
        <v>74.34</v>
      </c>
      <c r="L53" s="157">
        <f t="shared" si="4"/>
        <v>7750.6884000000009</v>
      </c>
      <c r="O53" s="154"/>
    </row>
    <row r="54" spans="2:15" x14ac:dyDescent="0.25">
      <c r="B54" s="154"/>
      <c r="C54" s="159">
        <f t="shared" si="0"/>
        <v>2148.8888888888887</v>
      </c>
      <c r="D54" s="337">
        <v>967</v>
      </c>
      <c r="E54" s="337">
        <v>48.35</v>
      </c>
      <c r="F54" s="143">
        <v>2</v>
      </c>
      <c r="G54" s="143">
        <v>0.46600000000000003</v>
      </c>
      <c r="H54" s="143">
        <v>19</v>
      </c>
      <c r="I54" s="143">
        <v>5.5</v>
      </c>
      <c r="J54" s="143">
        <v>0.78</v>
      </c>
      <c r="K54" s="157">
        <f t="shared" si="3"/>
        <v>74.34</v>
      </c>
      <c r="L54" s="157">
        <f t="shared" si="4"/>
        <v>3594.3390000000004</v>
      </c>
      <c r="O54" s="154"/>
    </row>
    <row r="55" spans="2:15" x14ac:dyDescent="0.25">
      <c r="B55" s="154"/>
      <c r="C55" s="159">
        <f t="shared" si="0"/>
        <v>5333.333333333333</v>
      </c>
      <c r="D55" s="337">
        <v>2400</v>
      </c>
      <c r="E55" s="337">
        <v>120</v>
      </c>
      <c r="F55" s="143">
        <v>2</v>
      </c>
      <c r="G55" s="143">
        <v>0.46600000000000003</v>
      </c>
      <c r="H55" s="143">
        <v>19</v>
      </c>
      <c r="I55" s="143">
        <v>5.5</v>
      </c>
      <c r="J55" s="143">
        <v>0.78</v>
      </c>
      <c r="K55" s="157">
        <f t="shared" si="3"/>
        <v>74.34</v>
      </c>
      <c r="L55" s="157">
        <f t="shared" si="4"/>
        <v>8920.8000000000011</v>
      </c>
      <c r="O55" s="154"/>
    </row>
    <row r="56" spans="2:15" x14ac:dyDescent="0.25">
      <c r="B56" s="154"/>
      <c r="C56" s="159">
        <f t="shared" si="0"/>
        <v>8666.6666666666661</v>
      </c>
      <c r="D56" s="337">
        <v>3900</v>
      </c>
      <c r="E56" s="337">
        <v>78</v>
      </c>
      <c r="F56" s="143">
        <v>2</v>
      </c>
      <c r="G56" s="143">
        <v>0.46600000000000003</v>
      </c>
      <c r="H56" s="143">
        <v>19</v>
      </c>
      <c r="I56" s="143">
        <v>5.5</v>
      </c>
      <c r="J56" s="143">
        <v>0.78</v>
      </c>
      <c r="K56" s="157">
        <f t="shared" si="3"/>
        <v>74.34</v>
      </c>
      <c r="L56" s="157">
        <f t="shared" si="4"/>
        <v>5798.52</v>
      </c>
      <c r="O56" s="154"/>
    </row>
    <row r="57" spans="2:15" x14ac:dyDescent="0.25">
      <c r="B57" s="154"/>
      <c r="C57" s="159">
        <f t="shared" si="0"/>
        <v>13333.333333333332</v>
      </c>
      <c r="D57" s="337">
        <v>6000</v>
      </c>
      <c r="E57" s="337">
        <v>167.3</v>
      </c>
      <c r="F57" s="143">
        <v>2</v>
      </c>
      <c r="G57" s="143">
        <v>0.46600000000000003</v>
      </c>
      <c r="H57" s="143">
        <v>19</v>
      </c>
      <c r="I57" s="143">
        <v>5.5</v>
      </c>
      <c r="J57" s="143">
        <v>0.78</v>
      </c>
      <c r="K57" s="157">
        <f t="shared" si="3"/>
        <v>74.34</v>
      </c>
      <c r="L57" s="157">
        <f t="shared" si="4"/>
        <v>12437.082000000002</v>
      </c>
      <c r="O57" s="154"/>
    </row>
    <row r="58" spans="2:15" x14ac:dyDescent="0.25">
      <c r="B58" s="154"/>
      <c r="C58" s="159">
        <f t="shared" si="0"/>
        <v>4658.2222222222217</v>
      </c>
      <c r="D58" s="337">
        <v>2096.1999999999998</v>
      </c>
      <c r="E58" s="337">
        <v>104.81</v>
      </c>
      <c r="F58" s="143">
        <v>2</v>
      </c>
      <c r="G58" s="143">
        <v>0.46600000000000003</v>
      </c>
      <c r="H58" s="143">
        <v>19</v>
      </c>
      <c r="I58" s="143">
        <v>5.5</v>
      </c>
      <c r="J58" s="143">
        <v>0.78</v>
      </c>
      <c r="K58" s="157">
        <f t="shared" si="3"/>
        <v>74.34</v>
      </c>
      <c r="L58" s="157">
        <f t="shared" si="4"/>
        <v>7791.5754000000006</v>
      </c>
      <c r="O58" s="154"/>
    </row>
    <row r="59" spans="2:15" x14ac:dyDescent="0.25">
      <c r="B59" s="154"/>
      <c r="C59" s="159">
        <f t="shared" si="0"/>
        <v>2441.5555555555557</v>
      </c>
      <c r="D59" s="337">
        <v>1098.7</v>
      </c>
      <c r="E59" s="337">
        <v>109.87</v>
      </c>
      <c r="F59" s="143">
        <v>2</v>
      </c>
      <c r="G59" s="143">
        <v>0.46600000000000003</v>
      </c>
      <c r="H59" s="143">
        <v>19</v>
      </c>
      <c r="I59" s="143">
        <v>5.5</v>
      </c>
      <c r="J59" s="143">
        <v>0.78</v>
      </c>
      <c r="K59" s="157">
        <f t="shared" si="3"/>
        <v>74.34</v>
      </c>
      <c r="L59" s="157">
        <f t="shared" si="4"/>
        <v>8167.7358000000004</v>
      </c>
      <c r="O59" s="154"/>
    </row>
    <row r="60" spans="2:15" x14ac:dyDescent="0.25">
      <c r="B60" s="154"/>
      <c r="C60" s="159">
        <f t="shared" si="0"/>
        <v>13333.333333333332</v>
      </c>
      <c r="D60" s="337">
        <v>6000</v>
      </c>
      <c r="E60" s="337">
        <v>125</v>
      </c>
      <c r="F60" s="143">
        <v>2</v>
      </c>
      <c r="G60" s="143">
        <v>0.46600000000000003</v>
      </c>
      <c r="H60" s="143">
        <v>19</v>
      </c>
      <c r="I60" s="143">
        <v>5.5</v>
      </c>
      <c r="J60" s="143">
        <v>0.78</v>
      </c>
      <c r="K60" s="157">
        <f t="shared" si="3"/>
        <v>74.34</v>
      </c>
      <c r="L60" s="157">
        <f t="shared" si="4"/>
        <v>9292.5</v>
      </c>
      <c r="O60" s="154"/>
    </row>
    <row r="61" spans="2:15" x14ac:dyDescent="0.25">
      <c r="B61" s="154"/>
      <c r="C61" s="159">
        <f t="shared" si="0"/>
        <v>13333.333333333332</v>
      </c>
      <c r="D61" s="337">
        <v>6000</v>
      </c>
      <c r="E61" s="337">
        <v>120</v>
      </c>
      <c r="F61" s="143">
        <v>2</v>
      </c>
      <c r="G61" s="143">
        <v>0.46600000000000003</v>
      </c>
      <c r="H61" s="143">
        <v>19</v>
      </c>
      <c r="I61" s="143">
        <v>5.5</v>
      </c>
      <c r="J61" s="143">
        <v>0.78</v>
      </c>
      <c r="K61" s="157">
        <f t="shared" si="3"/>
        <v>74.34</v>
      </c>
      <c r="L61" s="157">
        <f t="shared" si="4"/>
        <v>8920.8000000000011</v>
      </c>
      <c r="O61" s="154"/>
    </row>
    <row r="62" spans="2:15" x14ac:dyDescent="0.25">
      <c r="B62" s="154"/>
      <c r="C62" s="159">
        <f t="shared" si="0"/>
        <v>1875</v>
      </c>
      <c r="D62" s="337">
        <v>843.75</v>
      </c>
      <c r="E62" s="337">
        <v>33.75</v>
      </c>
      <c r="F62" s="143">
        <v>2</v>
      </c>
      <c r="G62" s="143">
        <v>0.46600000000000003</v>
      </c>
      <c r="H62" s="143">
        <v>19</v>
      </c>
      <c r="I62" s="143">
        <v>5.5</v>
      </c>
      <c r="J62" s="143">
        <v>0.78</v>
      </c>
      <c r="K62" s="157">
        <f t="shared" si="3"/>
        <v>74.34</v>
      </c>
      <c r="L62" s="157">
        <f t="shared" si="4"/>
        <v>2508.9749999999999</v>
      </c>
      <c r="O62" s="154"/>
    </row>
    <row r="63" spans="2:15" x14ac:dyDescent="0.25">
      <c r="B63" s="154"/>
      <c r="C63" s="159">
        <f t="shared" si="0"/>
        <v>14857.222222222223</v>
      </c>
      <c r="D63" s="337">
        <v>6685.75</v>
      </c>
      <c r="E63" s="337">
        <v>267.43</v>
      </c>
      <c r="F63" s="143">
        <v>2</v>
      </c>
      <c r="G63" s="143">
        <v>0.46600000000000003</v>
      </c>
      <c r="H63" s="143">
        <v>19</v>
      </c>
      <c r="I63" s="143">
        <v>5.5</v>
      </c>
      <c r="J63" s="143">
        <v>0.78</v>
      </c>
      <c r="K63" s="157">
        <f t="shared" si="3"/>
        <v>74.34</v>
      </c>
      <c r="L63" s="157">
        <f t="shared" si="4"/>
        <v>19880.746200000001</v>
      </c>
      <c r="O63" s="154"/>
    </row>
    <row r="64" spans="2:15" x14ac:dyDescent="0.25">
      <c r="B64" s="154"/>
      <c r="C64" s="159">
        <f t="shared" si="0"/>
        <v>16323.888888888889</v>
      </c>
      <c r="D64" s="337">
        <v>7345.75</v>
      </c>
      <c r="E64" s="337">
        <v>293.83</v>
      </c>
      <c r="F64" s="143">
        <v>2</v>
      </c>
      <c r="G64" s="143">
        <v>0.46600000000000003</v>
      </c>
      <c r="H64" s="143">
        <v>19</v>
      </c>
      <c r="I64" s="143">
        <v>5.5</v>
      </c>
      <c r="J64" s="143">
        <v>0.78</v>
      </c>
      <c r="K64" s="157">
        <f t="shared" si="3"/>
        <v>74.34</v>
      </c>
      <c r="L64" s="157">
        <f t="shared" si="4"/>
        <v>21843.322199999999</v>
      </c>
      <c r="O64" s="154"/>
    </row>
    <row r="65" spans="2:15" x14ac:dyDescent="0.25">
      <c r="B65" s="154"/>
      <c r="C65" s="159">
        <f t="shared" si="0"/>
        <v>2956.8888888888887</v>
      </c>
      <c r="D65" s="337">
        <v>1330.6</v>
      </c>
      <c r="E65" s="337">
        <v>66.53</v>
      </c>
      <c r="F65" s="143">
        <v>2</v>
      </c>
      <c r="G65" s="143">
        <v>0.46600000000000003</v>
      </c>
      <c r="H65" s="143">
        <v>19</v>
      </c>
      <c r="I65" s="143">
        <v>5.5</v>
      </c>
      <c r="J65" s="143">
        <v>0.78</v>
      </c>
      <c r="K65" s="157">
        <f t="shared" si="3"/>
        <v>74.34</v>
      </c>
      <c r="L65" s="157">
        <f t="shared" si="4"/>
        <v>4945.8402000000006</v>
      </c>
      <c r="O65" s="154"/>
    </row>
    <row r="66" spans="2:15" x14ac:dyDescent="0.25">
      <c r="B66" s="154"/>
      <c r="C66" s="159">
        <f t="shared" si="0"/>
        <v>177.77777777777777</v>
      </c>
      <c r="D66" s="337">
        <v>80</v>
      </c>
      <c r="E66" s="337">
        <v>4</v>
      </c>
      <c r="F66" s="143">
        <v>2</v>
      </c>
      <c r="G66" s="143">
        <v>0.46600000000000003</v>
      </c>
      <c r="H66" s="143">
        <v>19</v>
      </c>
      <c r="I66" s="143">
        <v>5.5</v>
      </c>
      <c r="J66" s="143">
        <v>0.78</v>
      </c>
      <c r="K66" s="157">
        <f t="shared" si="3"/>
        <v>74.34</v>
      </c>
      <c r="L66" s="157">
        <f t="shared" si="4"/>
        <v>297.36</v>
      </c>
      <c r="O66" s="154"/>
    </row>
    <row r="67" spans="2:15" x14ac:dyDescent="0.25">
      <c r="B67" s="154"/>
      <c r="C67" s="159">
        <f t="shared" si="0"/>
        <v>2824.4444444444443</v>
      </c>
      <c r="D67" s="337">
        <v>1271</v>
      </c>
      <c r="E67" s="337">
        <v>63.55</v>
      </c>
      <c r="F67" s="143">
        <v>2</v>
      </c>
      <c r="G67" s="143">
        <v>0.46600000000000003</v>
      </c>
      <c r="H67" s="143">
        <v>19</v>
      </c>
      <c r="I67" s="143">
        <v>5.5</v>
      </c>
      <c r="J67" s="143">
        <v>0.78</v>
      </c>
      <c r="K67" s="157">
        <f t="shared" si="3"/>
        <v>74.34</v>
      </c>
      <c r="L67" s="157">
        <f t="shared" si="4"/>
        <v>4724.3069999999998</v>
      </c>
      <c r="O67" s="154"/>
    </row>
    <row r="68" spans="2:15" x14ac:dyDescent="0.25">
      <c r="B68" s="154"/>
      <c r="C68" s="159">
        <f t="shared" si="0"/>
        <v>2644.4444444444443</v>
      </c>
      <c r="D68" s="337">
        <v>1190</v>
      </c>
      <c r="E68" s="337">
        <v>119</v>
      </c>
      <c r="F68" s="143">
        <v>2</v>
      </c>
      <c r="G68" s="143">
        <v>0.46600000000000003</v>
      </c>
      <c r="H68" s="143">
        <v>19</v>
      </c>
      <c r="I68" s="143">
        <v>5.5</v>
      </c>
      <c r="J68" s="143">
        <v>0.78</v>
      </c>
      <c r="K68" s="157">
        <f t="shared" si="3"/>
        <v>74.34</v>
      </c>
      <c r="L68" s="157">
        <f t="shared" si="4"/>
        <v>8846.4600000000009</v>
      </c>
      <c r="O68" s="154"/>
    </row>
    <row r="69" spans="2:15" x14ac:dyDescent="0.25">
      <c r="B69" s="154"/>
      <c r="C69" s="159">
        <f t="shared" si="0"/>
        <v>2222.2222222222222</v>
      </c>
      <c r="D69" s="337">
        <v>1000</v>
      </c>
      <c r="E69" s="337">
        <v>50</v>
      </c>
      <c r="F69" s="143">
        <v>2</v>
      </c>
      <c r="G69" s="143">
        <v>0.46600000000000003</v>
      </c>
      <c r="H69" s="143">
        <v>19</v>
      </c>
      <c r="I69" s="143">
        <v>5.5</v>
      </c>
      <c r="J69" s="143">
        <v>0.78</v>
      </c>
      <c r="K69" s="157">
        <f t="shared" si="3"/>
        <v>74.34</v>
      </c>
      <c r="L69" s="157">
        <f t="shared" si="4"/>
        <v>3717</v>
      </c>
      <c r="O69" s="154"/>
    </row>
    <row r="70" spans="2:15" x14ac:dyDescent="0.25">
      <c r="B70" s="154"/>
      <c r="C70" s="159">
        <f t="shared" si="0"/>
        <v>5333.333333333333</v>
      </c>
      <c r="D70" s="337">
        <v>2400</v>
      </c>
      <c r="E70" s="337">
        <v>123</v>
      </c>
      <c r="F70" s="143">
        <v>2</v>
      </c>
      <c r="G70" s="143">
        <v>0.46600000000000003</v>
      </c>
      <c r="H70" s="143">
        <v>19</v>
      </c>
      <c r="I70" s="143">
        <v>5.5</v>
      </c>
      <c r="J70" s="143">
        <v>0.78</v>
      </c>
      <c r="K70" s="157">
        <f t="shared" si="3"/>
        <v>74.34</v>
      </c>
      <c r="L70" s="157">
        <f t="shared" si="4"/>
        <v>9143.82</v>
      </c>
      <c r="O70" s="154"/>
    </row>
    <row r="71" spans="2:15" x14ac:dyDescent="0.25">
      <c r="B71" s="154"/>
      <c r="C71" s="159">
        <f t="shared" si="0"/>
        <v>5333.333333333333</v>
      </c>
      <c r="D71" s="337">
        <v>2400</v>
      </c>
      <c r="E71" s="337">
        <v>155.6</v>
      </c>
      <c r="F71" s="143">
        <v>2</v>
      </c>
      <c r="G71" s="143">
        <v>0.46600000000000003</v>
      </c>
      <c r="H71" s="143">
        <v>19</v>
      </c>
      <c r="I71" s="143">
        <v>5.5</v>
      </c>
      <c r="J71" s="143">
        <v>0.78</v>
      </c>
      <c r="K71" s="157">
        <f t="shared" si="3"/>
        <v>74.34</v>
      </c>
      <c r="L71" s="157">
        <f t="shared" si="4"/>
        <v>11567.304</v>
      </c>
      <c r="O71" s="154"/>
    </row>
    <row r="72" spans="2:15" x14ac:dyDescent="0.25">
      <c r="B72" s="154"/>
      <c r="C72" s="159">
        <f t="shared" si="0"/>
        <v>8800</v>
      </c>
      <c r="D72" s="337">
        <v>3960</v>
      </c>
      <c r="E72" s="337">
        <v>140</v>
      </c>
      <c r="F72" s="143">
        <v>2</v>
      </c>
      <c r="G72" s="143">
        <v>0.46600000000000003</v>
      </c>
      <c r="H72" s="143">
        <v>19</v>
      </c>
      <c r="I72" s="143">
        <v>5.5</v>
      </c>
      <c r="J72" s="143">
        <v>0.78</v>
      </c>
      <c r="K72" s="157">
        <f t="shared" si="3"/>
        <v>74.34</v>
      </c>
      <c r="L72" s="157">
        <f t="shared" si="4"/>
        <v>10407.6</v>
      </c>
      <c r="O72" s="154"/>
    </row>
    <row r="73" spans="2:15" x14ac:dyDescent="0.25">
      <c r="B73" s="154"/>
      <c r="C73" s="159">
        <f t="shared" si="0"/>
        <v>5927.0888888888885</v>
      </c>
      <c r="D73" s="337">
        <v>2667.19</v>
      </c>
      <c r="E73" s="337">
        <v>79.88</v>
      </c>
      <c r="F73" s="143">
        <v>2</v>
      </c>
      <c r="G73" s="143">
        <v>0.46600000000000003</v>
      </c>
      <c r="H73" s="143">
        <v>19</v>
      </c>
      <c r="I73" s="143">
        <v>5.5</v>
      </c>
      <c r="J73" s="143">
        <v>0.78</v>
      </c>
      <c r="K73" s="157">
        <f t="shared" si="3"/>
        <v>74.34</v>
      </c>
      <c r="L73" s="157">
        <f t="shared" si="4"/>
        <v>5938.2791999999999</v>
      </c>
      <c r="O73" s="154"/>
    </row>
    <row r="74" spans="2:15" x14ac:dyDescent="0.25">
      <c r="B74" s="154"/>
      <c r="C74" s="159">
        <f t="shared" si="0"/>
        <v>591.35555555555561</v>
      </c>
      <c r="D74" s="337">
        <v>266.11</v>
      </c>
      <c r="E74" s="337">
        <v>11.57</v>
      </c>
      <c r="F74" s="143">
        <v>2</v>
      </c>
      <c r="G74" s="143">
        <v>0.46600000000000003</v>
      </c>
      <c r="H74" s="143">
        <v>19</v>
      </c>
      <c r="I74" s="143">
        <v>5.5</v>
      </c>
      <c r="J74" s="143">
        <v>0.78</v>
      </c>
      <c r="K74" s="157">
        <f t="shared" si="3"/>
        <v>74.34</v>
      </c>
      <c r="L74" s="157">
        <f t="shared" si="4"/>
        <v>860.11380000000008</v>
      </c>
      <c r="O74" s="154"/>
    </row>
    <row r="75" spans="2:15" x14ac:dyDescent="0.25">
      <c r="B75" s="154"/>
      <c r="C75" s="159">
        <f t="shared" si="0"/>
        <v>4144</v>
      </c>
      <c r="D75" s="337">
        <v>1864.8</v>
      </c>
      <c r="E75" s="337">
        <v>51.8</v>
      </c>
      <c r="F75" s="143">
        <v>2</v>
      </c>
      <c r="G75" s="143">
        <v>0.46600000000000003</v>
      </c>
      <c r="H75" s="143">
        <v>19</v>
      </c>
      <c r="I75" s="143">
        <v>5.5</v>
      </c>
      <c r="J75" s="143">
        <v>0.78</v>
      </c>
      <c r="K75" s="157">
        <f t="shared" si="3"/>
        <v>74.34</v>
      </c>
      <c r="L75" s="157">
        <f t="shared" si="4"/>
        <v>3850.8119999999999</v>
      </c>
      <c r="O75" s="154"/>
    </row>
    <row r="76" spans="2:15" x14ac:dyDescent="0.25">
      <c r="B76" s="154"/>
      <c r="C76" s="159">
        <f t="shared" si="0"/>
        <v>2000</v>
      </c>
      <c r="D76" s="337">
        <v>900</v>
      </c>
      <c r="E76" s="337">
        <v>90</v>
      </c>
      <c r="F76" s="143">
        <v>2</v>
      </c>
      <c r="G76" s="143">
        <v>0.46600000000000003</v>
      </c>
      <c r="H76" s="143">
        <v>19</v>
      </c>
      <c r="I76" s="143">
        <v>5.5</v>
      </c>
      <c r="J76" s="143">
        <v>0.78</v>
      </c>
      <c r="K76" s="157">
        <f t="shared" si="3"/>
        <v>74.34</v>
      </c>
      <c r="L76" s="157">
        <f t="shared" si="4"/>
        <v>6690.6</v>
      </c>
      <c r="O76" s="154"/>
    </row>
    <row r="77" spans="2:15" x14ac:dyDescent="0.25">
      <c r="B77" s="154"/>
      <c r="C77" s="159">
        <f t="shared" si="0"/>
        <v>13111.111111111111</v>
      </c>
      <c r="D77" s="337">
        <v>5900</v>
      </c>
      <c r="E77" s="337">
        <v>118</v>
      </c>
      <c r="F77" s="143">
        <v>2</v>
      </c>
      <c r="G77" s="143">
        <v>0.46600000000000003</v>
      </c>
      <c r="H77" s="143">
        <v>19</v>
      </c>
      <c r="I77" s="143">
        <v>5.5</v>
      </c>
      <c r="J77" s="143">
        <v>0.78</v>
      </c>
      <c r="K77" s="157">
        <f t="shared" si="3"/>
        <v>74.34</v>
      </c>
      <c r="L77" s="157">
        <f t="shared" si="4"/>
        <v>8772.1200000000008</v>
      </c>
      <c r="O77" s="154"/>
    </row>
    <row r="78" spans="2:15" x14ac:dyDescent="0.25">
      <c r="B78" s="154"/>
      <c r="C78" s="159">
        <f t="shared" si="0"/>
        <v>8000</v>
      </c>
      <c r="D78" s="337">
        <v>3600</v>
      </c>
      <c r="E78" s="337">
        <v>166</v>
      </c>
      <c r="F78" s="143">
        <v>2</v>
      </c>
      <c r="G78" s="143">
        <v>0.46600000000000003</v>
      </c>
      <c r="H78" s="143">
        <v>19</v>
      </c>
      <c r="I78" s="143">
        <v>5.5</v>
      </c>
      <c r="J78" s="143">
        <v>0.78</v>
      </c>
      <c r="K78" s="157">
        <f t="shared" si="3"/>
        <v>74.34</v>
      </c>
      <c r="L78" s="157">
        <f t="shared" si="4"/>
        <v>12340.44</v>
      </c>
      <c r="O78" s="154"/>
    </row>
    <row r="79" spans="2:15" x14ac:dyDescent="0.25">
      <c r="B79" s="154"/>
      <c r="C79" s="159">
        <f t="shared" si="0"/>
        <v>21423.333333333332</v>
      </c>
      <c r="D79" s="337">
        <v>9640.5</v>
      </c>
      <c r="E79" s="337">
        <v>192.81</v>
      </c>
      <c r="F79" s="143">
        <v>2</v>
      </c>
      <c r="G79" s="143">
        <v>0.46600000000000003</v>
      </c>
      <c r="H79" s="143">
        <v>19</v>
      </c>
      <c r="I79" s="143">
        <v>5.5</v>
      </c>
      <c r="J79" s="143">
        <v>0.78</v>
      </c>
      <c r="K79" s="157">
        <f t="shared" si="3"/>
        <v>74.34</v>
      </c>
      <c r="L79" s="157">
        <f t="shared" si="4"/>
        <v>14333.495400000002</v>
      </c>
      <c r="O79" s="154"/>
    </row>
    <row r="80" spans="2:15" x14ac:dyDescent="0.25">
      <c r="B80" s="154"/>
      <c r="C80" s="159">
        <f t="shared" si="0"/>
        <v>13333.333333333332</v>
      </c>
      <c r="D80" s="337">
        <v>6000</v>
      </c>
      <c r="E80" s="337">
        <v>177.56</v>
      </c>
      <c r="F80" s="143">
        <v>2</v>
      </c>
      <c r="G80" s="143">
        <v>0.46600000000000003</v>
      </c>
      <c r="H80" s="143">
        <v>19</v>
      </c>
      <c r="I80" s="143">
        <v>5.5</v>
      </c>
      <c r="J80" s="143">
        <v>0.78</v>
      </c>
      <c r="K80" s="157">
        <f t="shared" si="3"/>
        <v>74.34</v>
      </c>
      <c r="L80" s="157">
        <f t="shared" si="4"/>
        <v>13199.8104</v>
      </c>
      <c r="O80" s="154"/>
    </row>
    <row r="81" spans="2:15" x14ac:dyDescent="0.25">
      <c r="B81" s="154">
        <v>33</v>
      </c>
      <c r="C81" s="159">
        <f t="shared" si="0"/>
        <v>13333.333333333332</v>
      </c>
      <c r="D81" s="154">
        <v>6000</v>
      </c>
      <c r="E81" s="143">
        <v>156.26</v>
      </c>
      <c r="F81" s="143">
        <v>2</v>
      </c>
      <c r="G81" s="143">
        <v>0.46600000000000003</v>
      </c>
      <c r="H81" s="143">
        <v>19</v>
      </c>
      <c r="I81" s="143">
        <v>5.5</v>
      </c>
      <c r="J81" s="143">
        <v>0.78</v>
      </c>
      <c r="K81" s="157">
        <f t="shared" si="3"/>
        <v>74.34</v>
      </c>
      <c r="L81" s="157">
        <f t="shared" si="4"/>
        <v>11616.368399999999</v>
      </c>
      <c r="O81" s="154"/>
    </row>
    <row r="82" spans="2:15" x14ac:dyDescent="0.25">
      <c r="B82" s="154">
        <v>34</v>
      </c>
      <c r="C82" s="159">
        <f t="shared" si="0"/>
        <v>13333.333333333332</v>
      </c>
      <c r="D82" s="154">
        <v>6000</v>
      </c>
      <c r="E82" s="143">
        <v>185.11</v>
      </c>
      <c r="F82" s="143">
        <v>2</v>
      </c>
      <c r="G82" s="143">
        <v>0.46600000000000003</v>
      </c>
      <c r="H82" s="143">
        <v>19</v>
      </c>
      <c r="I82" s="143">
        <v>5.5</v>
      </c>
      <c r="J82" s="143">
        <v>0.78</v>
      </c>
      <c r="K82" s="157">
        <f t="shared" si="3"/>
        <v>74.34</v>
      </c>
      <c r="L82" s="157">
        <f t="shared" si="4"/>
        <v>13761.077400000002</v>
      </c>
      <c r="O82" s="154"/>
    </row>
    <row r="83" spans="2:15" x14ac:dyDescent="0.25">
      <c r="B83" s="154">
        <v>35</v>
      </c>
      <c r="C83" s="159">
        <f t="shared" si="0"/>
        <v>1704.6666666666667</v>
      </c>
      <c r="D83" s="154">
        <v>767.1</v>
      </c>
      <c r="E83" s="143">
        <v>76.710000000000008</v>
      </c>
      <c r="F83" s="143">
        <v>2</v>
      </c>
      <c r="G83" s="143">
        <v>0.46600000000000003</v>
      </c>
      <c r="H83" s="143">
        <v>19</v>
      </c>
      <c r="I83" s="143">
        <v>5.5</v>
      </c>
      <c r="J83" s="143">
        <v>0.78</v>
      </c>
      <c r="K83" s="157">
        <f t="shared" si="3"/>
        <v>74.34</v>
      </c>
      <c r="L83" s="157">
        <f t="shared" si="4"/>
        <v>5702.6214000000009</v>
      </c>
      <c r="O83" s="154"/>
    </row>
    <row r="84" spans="2:15" x14ac:dyDescent="0.25">
      <c r="B84" s="154">
        <v>36</v>
      </c>
      <c r="C84" s="159">
        <f t="shared" si="0"/>
        <v>5333.333333333333</v>
      </c>
      <c r="D84" s="154">
        <v>2400</v>
      </c>
      <c r="E84" s="143">
        <v>120</v>
      </c>
      <c r="F84" s="143">
        <v>2</v>
      </c>
      <c r="G84" s="143">
        <v>0.46600000000000003</v>
      </c>
      <c r="H84" s="143">
        <v>19</v>
      </c>
      <c r="I84" s="143">
        <v>5.5</v>
      </c>
      <c r="J84" s="143">
        <v>0.78</v>
      </c>
      <c r="K84" s="157">
        <f t="shared" si="3"/>
        <v>74.34</v>
      </c>
      <c r="L84" s="157">
        <f t="shared" si="4"/>
        <v>8920.8000000000011</v>
      </c>
      <c r="O84" s="154"/>
    </row>
    <row r="85" spans="2:15" x14ac:dyDescent="0.25">
      <c r="B85" s="154">
        <v>37</v>
      </c>
      <c r="C85" s="159">
        <f t="shared" si="0"/>
        <v>2176</v>
      </c>
      <c r="D85" s="154">
        <v>979.2</v>
      </c>
      <c r="E85" s="143">
        <v>32.64</v>
      </c>
      <c r="F85" s="143">
        <v>2</v>
      </c>
      <c r="G85" s="143">
        <v>0.46600000000000003</v>
      </c>
      <c r="H85" s="143">
        <v>19</v>
      </c>
      <c r="I85" s="143">
        <v>5.5</v>
      </c>
      <c r="J85" s="143">
        <v>0.78</v>
      </c>
      <c r="K85" s="157">
        <f t="shared" si="3"/>
        <v>74.34</v>
      </c>
      <c r="L85" s="157">
        <f t="shared" si="4"/>
        <v>2426.4576000000002</v>
      </c>
      <c r="O85" s="154"/>
    </row>
    <row r="86" spans="2:15" x14ac:dyDescent="0.25">
      <c r="B86" s="154">
        <v>38</v>
      </c>
      <c r="C86" s="159">
        <f t="shared" si="0"/>
        <v>2666.6666666666665</v>
      </c>
      <c r="D86" s="154">
        <v>1200</v>
      </c>
      <c r="E86" s="143">
        <v>159</v>
      </c>
      <c r="F86" s="143">
        <v>2</v>
      </c>
      <c r="G86" s="143">
        <v>0.46600000000000003</v>
      </c>
      <c r="H86" s="143">
        <v>19</v>
      </c>
      <c r="I86" s="143">
        <v>5.5</v>
      </c>
      <c r="J86" s="143">
        <v>0.78</v>
      </c>
      <c r="K86" s="157">
        <f t="shared" si="3"/>
        <v>74.34</v>
      </c>
      <c r="L86" s="157">
        <f t="shared" si="4"/>
        <v>11820.060000000001</v>
      </c>
      <c r="O86" s="154"/>
    </row>
    <row r="87" spans="2:15" x14ac:dyDescent="0.25">
      <c r="B87" s="154">
        <v>39</v>
      </c>
      <c r="C87" s="159">
        <f t="shared" ref="C87:C94" si="5">D87/C$4</f>
        <v>7200</v>
      </c>
      <c r="D87" s="154">
        <v>3240</v>
      </c>
      <c r="E87" s="143">
        <v>108</v>
      </c>
      <c r="F87" s="143">
        <v>2</v>
      </c>
      <c r="G87" s="143">
        <v>0.46600000000000003</v>
      </c>
      <c r="H87" s="143">
        <v>19</v>
      </c>
      <c r="I87" s="143">
        <v>5.5</v>
      </c>
      <c r="J87" s="143">
        <v>0.78</v>
      </c>
      <c r="K87" s="157">
        <f t="shared" si="3"/>
        <v>74.34</v>
      </c>
      <c r="L87" s="157">
        <f t="shared" si="4"/>
        <v>8028.72</v>
      </c>
      <c r="O87" s="154"/>
    </row>
    <row r="88" spans="2:15" x14ac:dyDescent="0.25">
      <c r="B88" s="154">
        <v>40</v>
      </c>
      <c r="C88" s="159">
        <f t="shared" si="5"/>
        <v>3662.8888888888887</v>
      </c>
      <c r="D88" s="154">
        <v>1648.3</v>
      </c>
      <c r="E88" s="143">
        <v>31.1</v>
      </c>
      <c r="F88" s="143">
        <v>2</v>
      </c>
      <c r="G88" s="143">
        <v>0.46600000000000003</v>
      </c>
      <c r="H88" s="143">
        <v>19</v>
      </c>
      <c r="I88" s="143">
        <v>5.5</v>
      </c>
      <c r="J88" s="143">
        <v>0.78</v>
      </c>
      <c r="K88" s="157">
        <f t="shared" si="3"/>
        <v>74.34</v>
      </c>
      <c r="L88" s="157">
        <f t="shared" si="4"/>
        <v>2311.9740000000002</v>
      </c>
      <c r="O88" s="154"/>
    </row>
    <row r="89" spans="2:15" x14ac:dyDescent="0.25">
      <c r="B89" s="154">
        <v>41</v>
      </c>
      <c r="C89" s="159">
        <f t="shared" si="5"/>
        <v>11618.8</v>
      </c>
      <c r="D89" s="154">
        <v>5228.46</v>
      </c>
      <c r="E89" s="143">
        <v>84.33</v>
      </c>
      <c r="F89" s="143">
        <v>2</v>
      </c>
      <c r="G89" s="143">
        <v>0.46600000000000003</v>
      </c>
      <c r="H89" s="143">
        <v>19</v>
      </c>
      <c r="I89" s="143">
        <v>5.5</v>
      </c>
      <c r="J89" s="143">
        <v>0.78</v>
      </c>
      <c r="K89" s="157">
        <f t="shared" si="3"/>
        <v>74.34</v>
      </c>
      <c r="L89" s="157">
        <f t="shared" si="4"/>
        <v>6269.0922</v>
      </c>
      <c r="O89" s="154"/>
    </row>
    <row r="90" spans="2:15" x14ac:dyDescent="0.25">
      <c r="B90" s="154">
        <v>42</v>
      </c>
      <c r="C90" s="159">
        <f t="shared" si="5"/>
        <v>6133.333333333333</v>
      </c>
      <c r="D90" s="154">
        <v>2760</v>
      </c>
      <c r="E90" s="143">
        <v>240</v>
      </c>
      <c r="F90" s="143">
        <v>2</v>
      </c>
      <c r="G90" s="143">
        <v>0.46600000000000003</v>
      </c>
      <c r="H90" s="143">
        <v>19</v>
      </c>
      <c r="I90" s="143">
        <v>5.5</v>
      </c>
      <c r="J90" s="143">
        <v>0.78</v>
      </c>
      <c r="K90" s="157">
        <f t="shared" si="3"/>
        <v>74.34</v>
      </c>
      <c r="L90" s="157">
        <f t="shared" si="4"/>
        <v>17841.600000000002</v>
      </c>
      <c r="O90" s="154"/>
    </row>
    <row r="91" spans="2:15" x14ac:dyDescent="0.25">
      <c r="B91" s="154">
        <v>43</v>
      </c>
      <c r="C91" s="159">
        <f t="shared" si="5"/>
        <v>691.11111111111109</v>
      </c>
      <c r="D91" s="154">
        <v>311</v>
      </c>
      <c r="E91" s="143">
        <v>15.55</v>
      </c>
      <c r="F91" s="143">
        <v>2</v>
      </c>
      <c r="G91" s="143">
        <v>0.46600000000000003</v>
      </c>
      <c r="H91" s="143">
        <v>19</v>
      </c>
      <c r="I91" s="143">
        <v>5.5</v>
      </c>
      <c r="J91" s="143">
        <v>0.78</v>
      </c>
      <c r="K91" s="157">
        <f t="shared" si="3"/>
        <v>74.34</v>
      </c>
      <c r="L91" s="157">
        <f t="shared" si="4"/>
        <v>1155.9870000000001</v>
      </c>
      <c r="O91" s="154"/>
    </row>
    <row r="92" spans="2:15" x14ac:dyDescent="0.25">
      <c r="B92" s="154">
        <v>44</v>
      </c>
      <c r="C92" s="159">
        <f t="shared" si="5"/>
        <v>14133.333333333332</v>
      </c>
      <c r="D92" s="154">
        <v>6360</v>
      </c>
      <c r="E92" s="143">
        <v>123</v>
      </c>
      <c r="F92" s="143">
        <v>2</v>
      </c>
      <c r="G92" s="143">
        <v>0.46600000000000003</v>
      </c>
      <c r="H92" s="143">
        <v>19</v>
      </c>
      <c r="I92" s="143">
        <v>5.5</v>
      </c>
      <c r="J92" s="143">
        <v>0.78</v>
      </c>
      <c r="K92" s="157">
        <f t="shared" si="3"/>
        <v>74.34</v>
      </c>
      <c r="L92" s="157">
        <f t="shared" si="4"/>
        <v>9143.82</v>
      </c>
      <c r="O92" s="154"/>
    </row>
    <row r="93" spans="2:15" x14ac:dyDescent="0.25">
      <c r="B93" s="154">
        <v>45</v>
      </c>
      <c r="C93" s="159">
        <f t="shared" si="5"/>
        <v>2606.6666666666665</v>
      </c>
      <c r="D93" s="154">
        <v>1173</v>
      </c>
      <c r="E93" s="143">
        <v>51</v>
      </c>
      <c r="F93" s="143">
        <v>2</v>
      </c>
      <c r="G93" s="143">
        <v>0.46600000000000003</v>
      </c>
      <c r="H93" s="143">
        <v>19</v>
      </c>
      <c r="I93" s="143">
        <v>5.5</v>
      </c>
      <c r="J93" s="143">
        <v>0.78</v>
      </c>
      <c r="K93" s="157">
        <f t="shared" si="3"/>
        <v>74.34</v>
      </c>
      <c r="L93" s="157">
        <f t="shared" si="4"/>
        <v>3791.34</v>
      </c>
      <c r="O93" s="154"/>
    </row>
    <row r="94" spans="2:15" x14ac:dyDescent="0.25">
      <c r="B94" s="154">
        <v>46</v>
      </c>
      <c r="C94" s="159">
        <f t="shared" si="5"/>
        <v>0</v>
      </c>
      <c r="D94" s="154"/>
      <c r="E94" s="143"/>
      <c r="F94" s="143">
        <v>2</v>
      </c>
      <c r="G94" s="143">
        <v>0.46600000000000003</v>
      </c>
      <c r="H94" s="143">
        <v>19</v>
      </c>
      <c r="I94" s="143">
        <v>5.5</v>
      </c>
      <c r="J94" s="143">
        <v>0.78</v>
      </c>
      <c r="K94" s="157">
        <f t="shared" si="3"/>
        <v>74.34</v>
      </c>
      <c r="L94" s="157">
        <f t="shared" si="4"/>
        <v>0</v>
      </c>
      <c r="O94" s="154"/>
    </row>
    <row r="95" spans="2:15" x14ac:dyDescent="0.25">
      <c r="B95" s="154">
        <v>47</v>
      </c>
      <c r="C95" s="154"/>
      <c r="D95" s="154"/>
      <c r="E95" s="143"/>
      <c r="F95" s="143"/>
      <c r="G95" s="143"/>
      <c r="H95" s="143"/>
      <c r="I95" s="143"/>
      <c r="J95" s="143"/>
      <c r="K95" s="143"/>
      <c r="L95" s="143"/>
      <c r="O95" s="154"/>
    </row>
    <row r="96" spans="2:15" x14ac:dyDescent="0.25">
      <c r="B96" s="2"/>
      <c r="C96" s="162">
        <f>SUM(C7:C94)</f>
        <v>592947.62222222204</v>
      </c>
      <c r="D96" s="162">
        <f>SUM(D7:D94)</f>
        <v>266826.43</v>
      </c>
      <c r="E96" s="163">
        <f>AVERAGE(E7:E21)</f>
        <v>114.34066666666666</v>
      </c>
      <c r="F96" s="163"/>
      <c r="G96" s="163"/>
      <c r="H96" s="163"/>
      <c r="I96" s="163"/>
      <c r="J96" s="163"/>
      <c r="K96" s="163"/>
      <c r="L96" s="162">
        <f>SUM(L7:L94)</f>
        <v>701747.81837999949</v>
      </c>
      <c r="O96" s="162">
        <f>SUM(O7:O94)</f>
        <v>0</v>
      </c>
    </row>
    <row r="97" spans="2:12" x14ac:dyDescent="0.25">
      <c r="B97" s="2"/>
      <c r="C97" s="2"/>
      <c r="D97" s="2"/>
      <c r="E97" s="163"/>
      <c r="F97" s="163"/>
      <c r="G97" s="163"/>
      <c r="H97" s="163"/>
      <c r="I97" s="163"/>
      <c r="J97" s="163"/>
      <c r="K97" s="163"/>
      <c r="L97" s="163"/>
    </row>
    <row r="98" spans="2:12" x14ac:dyDescent="0.25">
      <c r="B98" s="2"/>
      <c r="C98" s="2"/>
      <c r="D98" s="2"/>
      <c r="E98" s="163"/>
      <c r="F98" s="163"/>
      <c r="G98" s="163"/>
      <c r="H98" s="163"/>
      <c r="I98" s="163"/>
      <c r="J98" s="163"/>
      <c r="K98" s="163"/>
      <c r="L98" s="163"/>
    </row>
    <row r="100" spans="2:12" x14ac:dyDescent="0.25">
      <c r="B100" s="1004" t="s">
        <v>351</v>
      </c>
      <c r="C100" s="164"/>
      <c r="D100" s="164"/>
      <c r="F100" s="143"/>
      <c r="G100" s="143"/>
      <c r="H100" s="143"/>
      <c r="I100" s="143"/>
      <c r="J100" s="143"/>
      <c r="K100" s="143"/>
      <c r="L100" s="143"/>
    </row>
    <row r="101" spans="2:12" x14ac:dyDescent="0.25">
      <c r="B101" s="1004"/>
      <c r="C101" s="165"/>
      <c r="D101" s="165"/>
      <c r="E101" s="143">
        <v>3</v>
      </c>
      <c r="F101" s="143"/>
      <c r="G101" s="143"/>
      <c r="H101" s="143"/>
      <c r="I101" s="143"/>
      <c r="J101" s="143"/>
      <c r="K101" s="143"/>
      <c r="L101" s="143"/>
    </row>
    <row r="102" spans="2:12" x14ac:dyDescent="0.25">
      <c r="B102" s="1004"/>
      <c r="C102" s="165"/>
      <c r="D102" s="165"/>
      <c r="E102" s="143">
        <v>0.5</v>
      </c>
      <c r="F102" s="143"/>
      <c r="G102" s="143"/>
      <c r="H102" s="143"/>
      <c r="I102" s="143"/>
      <c r="J102" s="143"/>
      <c r="K102" s="143"/>
      <c r="L102" s="143"/>
    </row>
    <row r="103" spans="2:12" x14ac:dyDescent="0.25">
      <c r="B103" s="1004"/>
      <c r="C103" s="165"/>
      <c r="D103" s="165"/>
      <c r="E103" s="143">
        <v>16</v>
      </c>
      <c r="F103" s="143"/>
      <c r="G103" s="143"/>
      <c r="H103" s="143"/>
      <c r="I103" s="143"/>
      <c r="J103" s="143"/>
      <c r="K103" s="143"/>
      <c r="L103" s="143"/>
    </row>
    <row r="104" spans="2:12" x14ac:dyDescent="0.25">
      <c r="E104" s="143">
        <v>3</v>
      </c>
      <c r="F104" s="143"/>
      <c r="G104" s="143"/>
      <c r="H104" s="143"/>
      <c r="I104" s="143"/>
      <c r="J104" s="143"/>
      <c r="K104" s="143"/>
      <c r="L104" s="143"/>
    </row>
    <row r="105" spans="2:12" x14ac:dyDescent="0.25">
      <c r="E105" s="143">
        <v>3</v>
      </c>
      <c r="F105" s="143"/>
      <c r="G105" s="143"/>
      <c r="H105" s="143"/>
      <c r="I105" s="143"/>
      <c r="J105" s="143"/>
      <c r="K105" s="143"/>
      <c r="L105" s="143"/>
    </row>
    <row r="106" spans="2:12" x14ac:dyDescent="0.25">
      <c r="E106" s="143">
        <v>5.5</v>
      </c>
      <c r="F106" s="143"/>
      <c r="G106" s="143"/>
      <c r="H106" s="143"/>
      <c r="I106" s="143"/>
      <c r="J106" s="143"/>
      <c r="K106" s="143"/>
      <c r="L106" s="143"/>
    </row>
    <row r="107" spans="2:12" x14ac:dyDescent="0.25">
      <c r="E107" s="143">
        <v>0.78</v>
      </c>
      <c r="F107" s="143"/>
      <c r="G107" s="143"/>
      <c r="H107" s="143"/>
      <c r="I107" s="143"/>
      <c r="J107" s="143"/>
      <c r="K107" s="143"/>
      <c r="L107" s="143"/>
    </row>
    <row r="108" spans="2:12" x14ac:dyDescent="0.25">
      <c r="F108" s="157"/>
      <c r="G108" s="157"/>
      <c r="H108" s="157"/>
      <c r="I108" s="157"/>
      <c r="J108" s="157"/>
      <c r="K108" s="157"/>
      <c r="L108" s="157"/>
    </row>
    <row r="110" spans="2:12" x14ac:dyDescent="0.25">
      <c r="B110" s="37" t="s">
        <v>352</v>
      </c>
    </row>
    <row r="111" spans="2:12" x14ac:dyDescent="0.25">
      <c r="B111" s="37" t="s">
        <v>353</v>
      </c>
    </row>
    <row r="112" spans="2:12" x14ac:dyDescent="0.25">
      <c r="B112" s="37" t="s">
        <v>354</v>
      </c>
    </row>
    <row r="113" spans="2:12" x14ac:dyDescent="0.25">
      <c r="B113" s="37" t="s">
        <v>355</v>
      </c>
    </row>
    <row r="114" spans="2:12" x14ac:dyDescent="0.25">
      <c r="B114" s="37" t="s">
        <v>356</v>
      </c>
    </row>
    <row r="115" spans="2:12" x14ac:dyDescent="0.25">
      <c r="B115" s="37" t="s">
        <v>357</v>
      </c>
    </row>
    <row r="116" spans="2:12" x14ac:dyDescent="0.25">
      <c r="B116" s="37" t="s">
        <v>358</v>
      </c>
    </row>
    <row r="117" spans="2:12" x14ac:dyDescent="0.25">
      <c r="B117" s="37" t="s">
        <v>359</v>
      </c>
    </row>
    <row r="118" spans="2:12" x14ac:dyDescent="0.25">
      <c r="B118" s="37" t="s">
        <v>360</v>
      </c>
    </row>
    <row r="119" spans="2:12" x14ac:dyDescent="0.25">
      <c r="B119" s="37" t="s">
        <v>361</v>
      </c>
    </row>
    <row r="121" spans="2:12" x14ac:dyDescent="0.25">
      <c r="B121" s="37" t="s">
        <v>362</v>
      </c>
    </row>
    <row r="123" spans="2:12" x14ac:dyDescent="0.25">
      <c r="B123" s="37" t="s">
        <v>363</v>
      </c>
    </row>
    <row r="125" spans="2:12" x14ac:dyDescent="0.25">
      <c r="B125" s="37" t="s">
        <v>364</v>
      </c>
      <c r="E125" s="37"/>
      <c r="F125" s="37"/>
      <c r="G125" s="37"/>
      <c r="H125" s="37"/>
      <c r="I125" s="37"/>
      <c r="J125" s="37"/>
      <c r="K125" s="37"/>
      <c r="L125" s="37"/>
    </row>
    <row r="127" spans="2:12" x14ac:dyDescent="0.25">
      <c r="B127" s="37" t="s">
        <v>332</v>
      </c>
      <c r="E127" s="37"/>
      <c r="F127" s="37"/>
      <c r="G127" s="37"/>
      <c r="H127" s="37"/>
      <c r="I127" s="37"/>
      <c r="J127" s="37"/>
      <c r="K127" s="37"/>
      <c r="L127" s="37"/>
    </row>
    <row r="128" spans="2:12" x14ac:dyDescent="0.25">
      <c r="B128" s="37" t="s">
        <v>365</v>
      </c>
      <c r="E128" s="37"/>
      <c r="F128" s="37"/>
      <c r="G128" s="37"/>
      <c r="H128" s="37"/>
      <c r="I128" s="37"/>
      <c r="J128" s="37"/>
      <c r="K128" s="37"/>
      <c r="L128" s="37"/>
    </row>
    <row r="130" spans="2:12" x14ac:dyDescent="0.25">
      <c r="B130" s="37" t="s">
        <v>366</v>
      </c>
      <c r="E130" s="37"/>
      <c r="F130" s="37"/>
      <c r="G130" s="37"/>
      <c r="H130" s="37"/>
      <c r="I130" s="37"/>
      <c r="J130" s="37"/>
      <c r="K130" s="37"/>
      <c r="L130" s="37"/>
    </row>
    <row r="131" spans="2:12" x14ac:dyDescent="0.25">
      <c r="B131" s="37" t="s">
        <v>367</v>
      </c>
      <c r="E131" s="37"/>
      <c r="F131" s="37"/>
      <c r="G131" s="37"/>
      <c r="H131" s="37"/>
      <c r="I131" s="37"/>
      <c r="J131" s="37"/>
      <c r="K131" s="37"/>
      <c r="L131" s="37"/>
    </row>
    <row r="132" spans="2:12" x14ac:dyDescent="0.25">
      <c r="B132" s="37" t="s">
        <v>368</v>
      </c>
      <c r="E132" s="37"/>
      <c r="F132" s="37"/>
      <c r="G132" s="37"/>
      <c r="H132" s="37"/>
      <c r="I132" s="37"/>
      <c r="J132" s="37"/>
      <c r="K132" s="37"/>
      <c r="L132" s="37"/>
    </row>
    <row r="133" spans="2:12" x14ac:dyDescent="0.25">
      <c r="B133" s="37" t="s">
        <v>369</v>
      </c>
      <c r="E133" s="37"/>
      <c r="F133" s="37"/>
      <c r="G133" s="37"/>
      <c r="H133" s="37"/>
      <c r="I133" s="37"/>
      <c r="J133" s="37"/>
      <c r="K133" s="37"/>
      <c r="L133" s="37"/>
    </row>
    <row r="134" spans="2:12" x14ac:dyDescent="0.25">
      <c r="B134" s="37" t="s">
        <v>370</v>
      </c>
      <c r="E134" s="37"/>
      <c r="F134" s="37"/>
      <c r="G134" s="37"/>
      <c r="H134" s="37"/>
      <c r="I134" s="37"/>
      <c r="J134" s="37"/>
      <c r="K134" s="37"/>
      <c r="L134" s="37"/>
    </row>
    <row r="136" spans="2:12" x14ac:dyDescent="0.25">
      <c r="B136" s="37" t="s">
        <v>371</v>
      </c>
      <c r="E136" s="37"/>
      <c r="F136" s="37"/>
      <c r="G136" s="37"/>
      <c r="H136" s="37"/>
      <c r="I136" s="37"/>
      <c r="J136" s="37"/>
      <c r="K136" s="37"/>
      <c r="L136" s="37"/>
    </row>
  </sheetData>
  <mergeCells count="3">
    <mergeCell ref="B3:H3"/>
    <mergeCell ref="I3:L3"/>
    <mergeCell ref="B100:B103"/>
  </mergeCells>
  <pageMargins left="0.7" right="0.7" top="0.75" bottom="0.75"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O110"/>
  <sheetViews>
    <sheetView topLeftCell="A37" workbookViewId="0">
      <selection activeCell="L70" sqref="L70"/>
    </sheetView>
  </sheetViews>
  <sheetFormatPr baseColWidth="10" defaultRowHeight="16.5" customHeight="1" x14ac:dyDescent="0.25"/>
  <cols>
    <col min="1" max="1" width="11.42578125" style="37"/>
    <col min="2" max="2" width="5.7109375" style="37" customWidth="1"/>
    <col min="3" max="3" width="13" style="37" customWidth="1"/>
    <col min="4" max="4" width="9.42578125" style="37" customWidth="1"/>
    <col min="5" max="5" width="9.5703125" style="148" customWidth="1"/>
    <col min="6" max="7" width="11.42578125" style="148"/>
    <col min="8" max="12" width="11.42578125" style="148" customWidth="1"/>
    <col min="13" max="16384" width="11.42578125" style="37"/>
  </cols>
  <sheetData>
    <row r="1" spans="2:15" ht="16.5" customHeight="1" x14ac:dyDescent="0.25">
      <c r="B1" s="37" t="s">
        <v>83</v>
      </c>
      <c r="J1" s="148" t="s">
        <v>332</v>
      </c>
    </row>
    <row r="2" spans="2:15" ht="16.5" customHeight="1" x14ac:dyDescent="0.25">
      <c r="B2" s="37" t="s">
        <v>333</v>
      </c>
      <c r="J2" s="148" t="s">
        <v>334</v>
      </c>
    </row>
    <row r="3" spans="2:15" ht="16.5" customHeight="1" x14ac:dyDescent="0.3">
      <c r="B3" s="1001" t="s">
        <v>374</v>
      </c>
      <c r="C3" s="1001"/>
      <c r="D3" s="1001"/>
      <c r="E3" s="1001"/>
      <c r="F3" s="1001"/>
      <c r="G3" s="1001"/>
      <c r="H3" s="1001"/>
      <c r="I3" s="1002" t="s">
        <v>336</v>
      </c>
      <c r="J3" s="1002"/>
      <c r="K3" s="1002"/>
      <c r="L3" s="1003"/>
    </row>
    <row r="4" spans="2:15" ht="16.5" customHeight="1" x14ac:dyDescent="0.3">
      <c r="B4" s="149"/>
      <c r="C4" s="37">
        <v>0.45</v>
      </c>
      <c r="E4" s="150"/>
      <c r="F4" s="151"/>
      <c r="G4" s="151"/>
      <c r="H4" s="151"/>
      <c r="I4" s="152"/>
      <c r="J4" s="152"/>
      <c r="K4" s="152"/>
      <c r="L4" s="150"/>
    </row>
    <row r="5" spans="2:15" ht="16.5" customHeight="1" x14ac:dyDescent="0.25">
      <c r="B5" s="153" t="s">
        <v>337</v>
      </c>
      <c r="C5" s="154" t="s">
        <v>338</v>
      </c>
      <c r="D5" s="155" t="s">
        <v>339</v>
      </c>
      <c r="E5" s="156"/>
      <c r="F5" s="157" t="s">
        <v>340</v>
      </c>
      <c r="G5" s="157">
        <v>0</v>
      </c>
      <c r="H5" s="157">
        <v>3</v>
      </c>
      <c r="I5" s="157" t="s">
        <v>341</v>
      </c>
      <c r="J5" s="157">
        <v>12</v>
      </c>
      <c r="K5" s="157" t="s">
        <v>373</v>
      </c>
      <c r="L5" s="143">
        <v>5040</v>
      </c>
      <c r="O5" s="154"/>
    </row>
    <row r="6" spans="2:15" ht="16.5" customHeight="1" x14ac:dyDescent="0.25">
      <c r="B6" s="143"/>
      <c r="C6" s="154"/>
      <c r="D6" s="158" t="s">
        <v>343</v>
      </c>
      <c r="E6" s="143" t="s">
        <v>344</v>
      </c>
      <c r="F6" s="143" t="s">
        <v>345</v>
      </c>
      <c r="G6" s="143" t="s">
        <v>346</v>
      </c>
      <c r="H6" s="143" t="s">
        <v>347</v>
      </c>
      <c r="I6" s="143" t="s">
        <v>348</v>
      </c>
      <c r="J6" s="157" t="s">
        <v>349</v>
      </c>
      <c r="K6" s="143" t="s">
        <v>350</v>
      </c>
      <c r="L6" s="143" t="s">
        <v>155</v>
      </c>
      <c r="O6" s="158"/>
    </row>
    <row r="7" spans="2:15" ht="16.5" customHeight="1" x14ac:dyDescent="0.25">
      <c r="B7" s="154">
        <v>1</v>
      </c>
      <c r="C7" s="159">
        <f>D7/C$4</f>
        <v>3352.7777777777778</v>
      </c>
      <c r="D7" s="160">
        <v>1508.75</v>
      </c>
      <c r="E7" s="160">
        <v>60.35</v>
      </c>
      <c r="F7" s="143">
        <v>3</v>
      </c>
      <c r="G7" s="143">
        <v>0.49</v>
      </c>
      <c r="H7" s="143">
        <v>19</v>
      </c>
      <c r="I7" s="143">
        <v>12</v>
      </c>
      <c r="J7" s="143">
        <v>0.78</v>
      </c>
      <c r="K7" s="157">
        <f t="shared" ref="K7:K19" si="0">(F7-G7)*1*((H7-G$5-H$5)-I7)*L$5/J7/1000</f>
        <v>64.873846153846145</v>
      </c>
      <c r="L7" s="157">
        <f t="shared" ref="L7:L19" si="1">E7*K7</f>
        <v>3915.1366153846147</v>
      </c>
      <c r="O7" s="154"/>
    </row>
    <row r="8" spans="2:15" ht="16.5" customHeight="1" x14ac:dyDescent="0.25">
      <c r="B8" s="154">
        <v>2</v>
      </c>
      <c r="C8" s="159">
        <f t="shared" ref="C8:C57" si="2">D8/C$4</f>
        <v>5311.7777777777783</v>
      </c>
      <c r="D8" s="160">
        <v>2390.3000000000002</v>
      </c>
      <c r="E8" s="160">
        <v>110</v>
      </c>
      <c r="F8" s="143">
        <v>3</v>
      </c>
      <c r="G8" s="143">
        <v>0.49</v>
      </c>
      <c r="H8" s="143">
        <v>19</v>
      </c>
      <c r="I8" s="143">
        <v>12</v>
      </c>
      <c r="J8" s="143">
        <v>0.78</v>
      </c>
      <c r="K8" s="157">
        <f t="shared" si="0"/>
        <v>64.873846153846145</v>
      </c>
      <c r="L8" s="157">
        <f t="shared" si="1"/>
        <v>7136.123076923076</v>
      </c>
      <c r="O8" s="154"/>
    </row>
    <row r="9" spans="2:15" ht="16.5" customHeight="1" x14ac:dyDescent="0.25">
      <c r="B9" s="154">
        <v>3</v>
      </c>
      <c r="C9" s="159">
        <f t="shared" si="2"/>
        <v>6181.6666666666661</v>
      </c>
      <c r="D9" s="160">
        <v>2781.75</v>
      </c>
      <c r="E9" s="160">
        <v>111.27</v>
      </c>
      <c r="F9" s="143">
        <v>3</v>
      </c>
      <c r="G9" s="143">
        <v>0.49</v>
      </c>
      <c r="H9" s="143">
        <v>19</v>
      </c>
      <c r="I9" s="143">
        <v>12</v>
      </c>
      <c r="J9" s="143">
        <v>0.78</v>
      </c>
      <c r="K9" s="157">
        <f t="shared" si="0"/>
        <v>64.873846153846145</v>
      </c>
      <c r="L9" s="157">
        <f t="shared" si="1"/>
        <v>7218.5128615384601</v>
      </c>
      <c r="O9" s="154"/>
    </row>
    <row r="10" spans="2:15" ht="16.5" customHeight="1" x14ac:dyDescent="0.25">
      <c r="B10" s="154">
        <v>4</v>
      </c>
      <c r="C10" s="159">
        <f t="shared" si="2"/>
        <v>4788.7111111111108</v>
      </c>
      <c r="D10" s="160">
        <v>2154.92</v>
      </c>
      <c r="E10" s="160">
        <v>155.6</v>
      </c>
      <c r="F10" s="143">
        <v>3</v>
      </c>
      <c r="G10" s="143">
        <v>0.49</v>
      </c>
      <c r="H10" s="143">
        <v>19</v>
      </c>
      <c r="I10" s="143">
        <v>12</v>
      </c>
      <c r="J10" s="143">
        <v>0.78</v>
      </c>
      <c r="K10" s="157">
        <f t="shared" si="0"/>
        <v>64.873846153846145</v>
      </c>
      <c r="L10" s="157">
        <f t="shared" si="1"/>
        <v>10094.370461538459</v>
      </c>
      <c r="O10" s="154"/>
    </row>
    <row r="11" spans="2:15" ht="16.5" customHeight="1" x14ac:dyDescent="0.25">
      <c r="B11" s="154">
        <v>5</v>
      </c>
      <c r="C11" s="159">
        <f t="shared" si="2"/>
        <v>1728.7777777777778</v>
      </c>
      <c r="D11" s="160">
        <v>777.95</v>
      </c>
      <c r="E11" s="160">
        <v>40.33</v>
      </c>
      <c r="F11" s="143">
        <v>3</v>
      </c>
      <c r="G11" s="143">
        <v>0.49</v>
      </c>
      <c r="H11" s="143">
        <v>19</v>
      </c>
      <c r="I11" s="143">
        <v>12</v>
      </c>
      <c r="J11" s="143">
        <v>0.78</v>
      </c>
      <c r="K11" s="157">
        <f t="shared" si="0"/>
        <v>64.873846153846145</v>
      </c>
      <c r="L11" s="157">
        <f t="shared" si="1"/>
        <v>2616.362215384615</v>
      </c>
      <c r="O11" s="154"/>
    </row>
    <row r="12" spans="2:15" ht="16.5" customHeight="1" x14ac:dyDescent="0.25">
      <c r="B12" s="154">
        <v>6</v>
      </c>
      <c r="C12" s="159">
        <f t="shared" si="2"/>
        <v>735.55555555555554</v>
      </c>
      <c r="D12" s="160">
        <v>331</v>
      </c>
      <c r="E12" s="160">
        <v>33.1</v>
      </c>
      <c r="F12" s="143">
        <v>3</v>
      </c>
      <c r="G12" s="143">
        <v>0.49</v>
      </c>
      <c r="H12" s="143">
        <v>19</v>
      </c>
      <c r="I12" s="143">
        <v>12</v>
      </c>
      <c r="J12" s="143">
        <v>0.78</v>
      </c>
      <c r="K12" s="157">
        <f t="shared" si="0"/>
        <v>64.873846153846145</v>
      </c>
      <c r="L12" s="157">
        <f t="shared" si="1"/>
        <v>2147.3243076923077</v>
      </c>
      <c r="O12" s="154"/>
    </row>
    <row r="13" spans="2:15" ht="16.5" customHeight="1" x14ac:dyDescent="0.25">
      <c r="B13" s="154">
        <v>7</v>
      </c>
      <c r="C13" s="159">
        <f t="shared" si="2"/>
        <v>2843.3333333333335</v>
      </c>
      <c r="D13" s="160">
        <v>1279.5</v>
      </c>
      <c r="E13" s="160">
        <v>48.12</v>
      </c>
      <c r="F13" s="143">
        <v>3</v>
      </c>
      <c r="G13" s="143">
        <v>0.49</v>
      </c>
      <c r="H13" s="143">
        <v>19</v>
      </c>
      <c r="I13" s="143">
        <v>12</v>
      </c>
      <c r="J13" s="143">
        <v>0.78</v>
      </c>
      <c r="K13" s="157">
        <f t="shared" si="0"/>
        <v>64.873846153846145</v>
      </c>
      <c r="L13" s="157">
        <f t="shared" si="1"/>
        <v>3121.7294769230762</v>
      </c>
      <c r="O13" s="154"/>
    </row>
    <row r="14" spans="2:15" ht="16.5" customHeight="1" x14ac:dyDescent="0.25">
      <c r="B14" s="154">
        <v>8</v>
      </c>
      <c r="C14" s="159">
        <f t="shared" si="2"/>
        <v>388.88888888888886</v>
      </c>
      <c r="D14" s="160">
        <v>175</v>
      </c>
      <c r="E14" s="160">
        <v>35</v>
      </c>
      <c r="F14" s="143">
        <v>3</v>
      </c>
      <c r="G14" s="143">
        <v>0.49</v>
      </c>
      <c r="H14" s="143">
        <v>19</v>
      </c>
      <c r="I14" s="143">
        <v>12</v>
      </c>
      <c r="J14" s="143">
        <v>0.78</v>
      </c>
      <c r="K14" s="157">
        <f t="shared" si="0"/>
        <v>64.873846153846145</v>
      </c>
      <c r="L14" s="157">
        <f t="shared" si="1"/>
        <v>2270.5846153846151</v>
      </c>
      <c r="O14" s="154"/>
    </row>
    <row r="15" spans="2:15" ht="16.5" customHeight="1" x14ac:dyDescent="0.25">
      <c r="B15" s="154">
        <v>9</v>
      </c>
      <c r="C15" s="159">
        <f t="shared" si="2"/>
        <v>4800</v>
      </c>
      <c r="D15" s="160">
        <v>2160</v>
      </c>
      <c r="E15" s="160">
        <v>80</v>
      </c>
      <c r="F15" s="143">
        <v>3</v>
      </c>
      <c r="G15" s="143">
        <v>0.49</v>
      </c>
      <c r="H15" s="143">
        <v>19</v>
      </c>
      <c r="I15" s="143">
        <v>12</v>
      </c>
      <c r="J15" s="143">
        <v>0.78</v>
      </c>
      <c r="K15" s="157">
        <f t="shared" si="0"/>
        <v>64.873846153846145</v>
      </c>
      <c r="L15" s="157">
        <f t="shared" si="1"/>
        <v>5189.9076923076918</v>
      </c>
      <c r="O15" s="154"/>
    </row>
    <row r="16" spans="2:15" ht="16.5" customHeight="1" x14ac:dyDescent="0.25">
      <c r="B16" s="154">
        <v>10</v>
      </c>
      <c r="C16" s="159">
        <f t="shared" si="2"/>
        <v>4800</v>
      </c>
      <c r="D16" s="160">
        <v>2160</v>
      </c>
      <c r="E16" s="160">
        <v>114.72</v>
      </c>
      <c r="F16" s="143">
        <v>3</v>
      </c>
      <c r="G16" s="143">
        <v>0.49</v>
      </c>
      <c r="H16" s="143">
        <v>19</v>
      </c>
      <c r="I16" s="143">
        <v>12</v>
      </c>
      <c r="J16" s="143">
        <v>0.78</v>
      </c>
      <c r="K16" s="157">
        <f t="shared" si="0"/>
        <v>64.873846153846145</v>
      </c>
      <c r="L16" s="157">
        <f t="shared" si="1"/>
        <v>7442.3276307692295</v>
      </c>
      <c r="O16" s="154"/>
    </row>
    <row r="17" spans="2:15" ht="16.5" customHeight="1" x14ac:dyDescent="0.25">
      <c r="B17" s="154">
        <v>11</v>
      </c>
      <c r="C17" s="159">
        <f t="shared" si="2"/>
        <v>3627.7777777777778</v>
      </c>
      <c r="D17" s="160">
        <v>1632.5</v>
      </c>
      <c r="E17" s="160">
        <v>88.86</v>
      </c>
      <c r="F17" s="143">
        <v>3</v>
      </c>
      <c r="G17" s="143">
        <v>0.49</v>
      </c>
      <c r="H17" s="143">
        <v>19</v>
      </c>
      <c r="I17" s="143">
        <v>12</v>
      </c>
      <c r="J17" s="143">
        <v>0.78</v>
      </c>
      <c r="K17" s="157">
        <f t="shared" si="0"/>
        <v>64.873846153846145</v>
      </c>
      <c r="L17" s="157">
        <f t="shared" si="1"/>
        <v>5764.6899692307688</v>
      </c>
      <c r="O17" s="154"/>
    </row>
    <row r="18" spans="2:15" ht="16.5" customHeight="1" x14ac:dyDescent="0.25">
      <c r="B18" s="154">
        <v>12</v>
      </c>
      <c r="C18" s="159">
        <f t="shared" si="2"/>
        <v>2790.7555555555555</v>
      </c>
      <c r="D18" s="160">
        <v>1255.8399999999999</v>
      </c>
      <c r="E18" s="160">
        <v>62.792000000000002</v>
      </c>
      <c r="F18" s="143">
        <v>3</v>
      </c>
      <c r="G18" s="143">
        <v>0.49</v>
      </c>
      <c r="H18" s="143">
        <v>19</v>
      </c>
      <c r="I18" s="143">
        <v>12</v>
      </c>
      <c r="J18" s="143">
        <v>0.78</v>
      </c>
      <c r="K18" s="157">
        <f t="shared" si="0"/>
        <v>64.873846153846145</v>
      </c>
      <c r="L18" s="157">
        <f t="shared" si="1"/>
        <v>4073.5585476923075</v>
      </c>
      <c r="O18" s="154"/>
    </row>
    <row r="19" spans="2:15" ht="16.5" customHeight="1" x14ac:dyDescent="0.25">
      <c r="B19" s="154">
        <v>13</v>
      </c>
      <c r="C19" s="159">
        <f t="shared" si="2"/>
        <v>2820</v>
      </c>
      <c r="D19" s="154">
        <v>1269</v>
      </c>
      <c r="E19" s="143">
        <v>47</v>
      </c>
      <c r="F19" s="143">
        <v>3</v>
      </c>
      <c r="G19" s="143">
        <v>0.49</v>
      </c>
      <c r="H19" s="143">
        <v>19</v>
      </c>
      <c r="I19" s="143">
        <v>12</v>
      </c>
      <c r="J19" s="143">
        <v>0.78</v>
      </c>
      <c r="K19" s="157">
        <f t="shared" si="0"/>
        <v>64.873846153846145</v>
      </c>
      <c r="L19" s="157">
        <f t="shared" si="1"/>
        <v>3049.0707692307687</v>
      </c>
      <c r="O19" s="154"/>
    </row>
    <row r="20" spans="2:15" ht="16.5" customHeight="1" x14ac:dyDescent="0.25">
      <c r="B20" s="154"/>
      <c r="C20" s="159">
        <f t="shared" si="2"/>
        <v>1851</v>
      </c>
      <c r="D20" s="154">
        <v>832.95</v>
      </c>
      <c r="E20" s="143">
        <v>30.85</v>
      </c>
      <c r="F20" s="143">
        <v>3</v>
      </c>
      <c r="G20" s="143">
        <v>0.49</v>
      </c>
      <c r="H20" s="143">
        <v>19</v>
      </c>
      <c r="I20" s="143">
        <v>12</v>
      </c>
      <c r="J20" s="143">
        <v>0.78</v>
      </c>
      <c r="K20" s="157">
        <f t="shared" ref="K20:K58" si="3">(F20-G20)*1*((H20-G$5-H$5)-I20)*L$5/J20/1000</f>
        <v>64.873846153846145</v>
      </c>
      <c r="L20" s="157">
        <f t="shared" ref="L20:L58" si="4">E20*K20</f>
        <v>2001.3581538461538</v>
      </c>
      <c r="O20" s="154"/>
    </row>
    <row r="21" spans="2:15" ht="16.5" customHeight="1" x14ac:dyDescent="0.25">
      <c r="B21" s="154"/>
      <c r="C21" s="159">
        <f t="shared" si="2"/>
        <v>4800</v>
      </c>
      <c r="D21" s="154">
        <v>2160</v>
      </c>
      <c r="E21" s="143">
        <v>82</v>
      </c>
      <c r="F21" s="143">
        <v>3</v>
      </c>
      <c r="G21" s="143">
        <v>0.49</v>
      </c>
      <c r="H21" s="143">
        <v>19</v>
      </c>
      <c r="I21" s="143">
        <v>12</v>
      </c>
      <c r="J21" s="143">
        <v>0.78</v>
      </c>
      <c r="K21" s="157">
        <f t="shared" si="3"/>
        <v>64.873846153846145</v>
      </c>
      <c r="L21" s="157">
        <f t="shared" si="4"/>
        <v>5319.6553846153838</v>
      </c>
      <c r="O21" s="154"/>
    </row>
    <row r="22" spans="2:15" ht="16.5" customHeight="1" x14ac:dyDescent="0.25">
      <c r="B22" s="154"/>
      <c r="C22" s="159">
        <f t="shared" si="2"/>
        <v>2666.6666666666665</v>
      </c>
      <c r="D22" s="154">
        <v>1200</v>
      </c>
      <c r="E22" s="143">
        <v>122.37</v>
      </c>
      <c r="F22" s="143">
        <v>3</v>
      </c>
      <c r="G22" s="143">
        <v>0.49</v>
      </c>
      <c r="H22" s="143">
        <v>19</v>
      </c>
      <c r="I22" s="143">
        <v>12</v>
      </c>
      <c r="J22" s="143">
        <v>0.78</v>
      </c>
      <c r="K22" s="157">
        <f t="shared" si="3"/>
        <v>64.873846153846145</v>
      </c>
      <c r="L22" s="157">
        <f t="shared" si="4"/>
        <v>7938.6125538461529</v>
      </c>
      <c r="O22" s="154"/>
    </row>
    <row r="23" spans="2:15" ht="16.5" customHeight="1" x14ac:dyDescent="0.25">
      <c r="B23" s="154"/>
      <c r="C23" s="159">
        <f t="shared" si="2"/>
        <v>3886.6666666666665</v>
      </c>
      <c r="D23" s="154">
        <v>1749</v>
      </c>
      <c r="E23" s="143">
        <v>100</v>
      </c>
      <c r="F23" s="143">
        <v>3</v>
      </c>
      <c r="G23" s="143">
        <v>0.49</v>
      </c>
      <c r="H23" s="143">
        <v>19</v>
      </c>
      <c r="I23" s="143">
        <v>12</v>
      </c>
      <c r="J23" s="143">
        <v>0.78</v>
      </c>
      <c r="K23" s="157">
        <f t="shared" si="3"/>
        <v>64.873846153846145</v>
      </c>
      <c r="L23" s="157">
        <f t="shared" si="4"/>
        <v>6487.3846153846143</v>
      </c>
      <c r="O23" s="154"/>
    </row>
    <row r="24" spans="2:15" ht="16.5" customHeight="1" x14ac:dyDescent="0.25">
      <c r="B24" s="154"/>
      <c r="C24" s="159">
        <f t="shared" si="2"/>
        <v>2632.8666666666663</v>
      </c>
      <c r="D24" s="154">
        <v>1184.79</v>
      </c>
      <c r="E24" s="143">
        <v>12.2</v>
      </c>
      <c r="F24" s="143">
        <v>3</v>
      </c>
      <c r="G24" s="143">
        <v>0.49</v>
      </c>
      <c r="H24" s="143">
        <v>19</v>
      </c>
      <c r="I24" s="143">
        <v>12</v>
      </c>
      <c r="J24" s="143">
        <v>0.78</v>
      </c>
      <c r="K24" s="157">
        <f t="shared" si="3"/>
        <v>64.873846153846145</v>
      </c>
      <c r="L24" s="157">
        <f t="shared" si="4"/>
        <v>791.46092307692288</v>
      </c>
      <c r="O24" s="154"/>
    </row>
    <row r="25" spans="2:15" ht="16.5" customHeight="1" x14ac:dyDescent="0.25">
      <c r="B25" s="154"/>
      <c r="C25" s="159">
        <f t="shared" si="2"/>
        <v>8166.6666666666661</v>
      </c>
      <c r="D25" s="154">
        <v>3675</v>
      </c>
      <c r="E25" s="143">
        <v>147</v>
      </c>
      <c r="F25" s="143">
        <v>3</v>
      </c>
      <c r="G25" s="143">
        <v>0.49</v>
      </c>
      <c r="H25" s="143">
        <v>19</v>
      </c>
      <c r="I25" s="143">
        <v>12</v>
      </c>
      <c r="J25" s="143">
        <v>0.78</v>
      </c>
      <c r="K25" s="157">
        <f t="shared" si="3"/>
        <v>64.873846153846145</v>
      </c>
      <c r="L25" s="157">
        <f t="shared" si="4"/>
        <v>9536.4553846153831</v>
      </c>
      <c r="O25" s="154"/>
    </row>
    <row r="26" spans="2:15" ht="16.5" customHeight="1" x14ac:dyDescent="0.25">
      <c r="B26" s="154"/>
      <c r="C26" s="159">
        <f t="shared" si="2"/>
        <v>371.11111111111109</v>
      </c>
      <c r="D26" s="154">
        <v>167</v>
      </c>
      <c r="E26" s="143">
        <v>8.35</v>
      </c>
      <c r="F26" s="143">
        <v>3</v>
      </c>
      <c r="G26" s="143">
        <v>0.49</v>
      </c>
      <c r="H26" s="143">
        <v>19</v>
      </c>
      <c r="I26" s="143">
        <v>12</v>
      </c>
      <c r="J26" s="143">
        <v>0.78</v>
      </c>
      <c r="K26" s="157">
        <f t="shared" si="3"/>
        <v>64.873846153846145</v>
      </c>
      <c r="L26" s="157">
        <f t="shared" si="4"/>
        <v>541.69661538461526</v>
      </c>
      <c r="O26" s="154"/>
    </row>
    <row r="27" spans="2:15" ht="16.5" customHeight="1" x14ac:dyDescent="0.25">
      <c r="B27" s="154"/>
      <c r="C27" s="159">
        <f t="shared" si="2"/>
        <v>4800</v>
      </c>
      <c r="D27" s="154">
        <v>2160</v>
      </c>
      <c r="E27" s="143">
        <v>103.55</v>
      </c>
      <c r="F27" s="143">
        <v>3</v>
      </c>
      <c r="G27" s="143">
        <v>0.49</v>
      </c>
      <c r="H27" s="143">
        <v>19</v>
      </c>
      <c r="I27" s="143">
        <v>12</v>
      </c>
      <c r="J27" s="143">
        <v>0.78</v>
      </c>
      <c r="K27" s="157">
        <f t="shared" si="3"/>
        <v>64.873846153846145</v>
      </c>
      <c r="L27" s="157">
        <f t="shared" si="4"/>
        <v>6717.6867692307678</v>
      </c>
      <c r="O27" s="154"/>
    </row>
    <row r="28" spans="2:15" ht="16.5" customHeight="1" x14ac:dyDescent="0.25">
      <c r="B28" s="154"/>
      <c r="C28" s="159">
        <f t="shared" si="2"/>
        <v>3324.9777777777776</v>
      </c>
      <c r="D28" s="154">
        <v>1496.24</v>
      </c>
      <c r="E28" s="143">
        <v>87.11</v>
      </c>
      <c r="F28" s="143">
        <v>3</v>
      </c>
      <c r="G28" s="143">
        <v>0.49</v>
      </c>
      <c r="H28" s="143">
        <v>19</v>
      </c>
      <c r="I28" s="143">
        <v>12</v>
      </c>
      <c r="J28" s="143">
        <v>0.78</v>
      </c>
      <c r="K28" s="157">
        <f t="shared" si="3"/>
        <v>64.873846153846145</v>
      </c>
      <c r="L28" s="157">
        <f t="shared" si="4"/>
        <v>5651.1607384615372</v>
      </c>
      <c r="O28" s="154"/>
    </row>
    <row r="29" spans="2:15" ht="16.5" customHeight="1" x14ac:dyDescent="0.25">
      <c r="B29" s="154"/>
      <c r="C29" s="159">
        <f t="shared" si="2"/>
        <v>5111.5555555555557</v>
      </c>
      <c r="D29" s="154">
        <v>2300.2000000000003</v>
      </c>
      <c r="E29" s="143">
        <v>65.72</v>
      </c>
      <c r="F29" s="143">
        <v>3</v>
      </c>
      <c r="G29" s="143">
        <v>0.49</v>
      </c>
      <c r="H29" s="143">
        <v>19</v>
      </c>
      <c r="I29" s="143">
        <v>12</v>
      </c>
      <c r="J29" s="143">
        <v>0.78</v>
      </c>
      <c r="K29" s="157">
        <f t="shared" si="3"/>
        <v>64.873846153846145</v>
      </c>
      <c r="L29" s="157">
        <f t="shared" si="4"/>
        <v>4263.5091692307687</v>
      </c>
      <c r="O29" s="154"/>
    </row>
    <row r="30" spans="2:15" ht="16.5" customHeight="1" x14ac:dyDescent="0.25">
      <c r="B30" s="154"/>
      <c r="C30" s="159">
        <f t="shared" si="2"/>
        <v>1568.8888888888889</v>
      </c>
      <c r="D30" s="154">
        <v>706</v>
      </c>
      <c r="E30" s="143">
        <v>35.300000000000004</v>
      </c>
      <c r="F30" s="143">
        <v>3</v>
      </c>
      <c r="G30" s="143">
        <v>0.49</v>
      </c>
      <c r="H30" s="143">
        <v>19</v>
      </c>
      <c r="I30" s="143">
        <v>12</v>
      </c>
      <c r="J30" s="143">
        <v>0.78</v>
      </c>
      <c r="K30" s="157">
        <f t="shared" si="3"/>
        <v>64.873846153846145</v>
      </c>
      <c r="L30" s="157">
        <f t="shared" si="4"/>
        <v>2290.0467692307693</v>
      </c>
      <c r="O30" s="154"/>
    </row>
    <row r="31" spans="2:15" ht="16.5" customHeight="1" x14ac:dyDescent="0.25">
      <c r="B31" s="154"/>
      <c r="C31" s="159">
        <f t="shared" si="2"/>
        <v>1490</v>
      </c>
      <c r="D31" s="154">
        <v>670.5</v>
      </c>
      <c r="E31" s="143">
        <v>44.7</v>
      </c>
      <c r="F31" s="143">
        <v>3</v>
      </c>
      <c r="G31" s="143">
        <v>0.49</v>
      </c>
      <c r="H31" s="143">
        <v>19</v>
      </c>
      <c r="I31" s="143">
        <v>12</v>
      </c>
      <c r="J31" s="143">
        <v>0.78</v>
      </c>
      <c r="K31" s="157">
        <f t="shared" si="3"/>
        <v>64.873846153846145</v>
      </c>
      <c r="L31" s="157">
        <f t="shared" si="4"/>
        <v>2899.860923076923</v>
      </c>
      <c r="O31" s="154"/>
    </row>
    <row r="32" spans="2:15" ht="16.5" customHeight="1" x14ac:dyDescent="0.25">
      <c r="B32" s="154"/>
      <c r="C32" s="159">
        <f t="shared" si="2"/>
        <v>2666.6666666666665</v>
      </c>
      <c r="D32" s="154">
        <v>1200</v>
      </c>
      <c r="E32" s="143">
        <v>80</v>
      </c>
      <c r="F32" s="143">
        <v>3</v>
      </c>
      <c r="G32" s="143">
        <v>0.49</v>
      </c>
      <c r="H32" s="143">
        <v>19</v>
      </c>
      <c r="I32" s="143">
        <v>12</v>
      </c>
      <c r="J32" s="143">
        <v>0.78</v>
      </c>
      <c r="K32" s="157">
        <f t="shared" si="3"/>
        <v>64.873846153846145</v>
      </c>
      <c r="L32" s="157">
        <f t="shared" si="4"/>
        <v>5189.9076923076918</v>
      </c>
      <c r="O32" s="154"/>
    </row>
    <row r="33" spans="2:15" ht="16.5" customHeight="1" x14ac:dyDescent="0.25">
      <c r="B33" s="154"/>
      <c r="C33" s="159">
        <f t="shared" si="2"/>
        <v>4800</v>
      </c>
      <c r="D33" s="154">
        <v>2160</v>
      </c>
      <c r="E33" s="143">
        <v>109</v>
      </c>
      <c r="F33" s="143">
        <v>3</v>
      </c>
      <c r="G33" s="143">
        <v>0.49</v>
      </c>
      <c r="H33" s="143">
        <v>19</v>
      </c>
      <c r="I33" s="143">
        <v>12</v>
      </c>
      <c r="J33" s="143">
        <v>0.78</v>
      </c>
      <c r="K33" s="157">
        <f t="shared" si="3"/>
        <v>64.873846153846145</v>
      </c>
      <c r="L33" s="157">
        <f t="shared" si="4"/>
        <v>7071.2492307692301</v>
      </c>
      <c r="O33" s="154"/>
    </row>
    <row r="34" spans="2:15" ht="16.5" customHeight="1" x14ac:dyDescent="0.25">
      <c r="B34" s="154"/>
      <c r="C34" s="159">
        <f t="shared" si="2"/>
        <v>2443.8000000000002</v>
      </c>
      <c r="D34" s="154">
        <v>1099.71</v>
      </c>
      <c r="E34" s="143">
        <v>40.730000000000004</v>
      </c>
      <c r="F34" s="143">
        <v>3</v>
      </c>
      <c r="G34" s="143">
        <v>0.49</v>
      </c>
      <c r="H34" s="143">
        <v>19</v>
      </c>
      <c r="I34" s="143">
        <v>12</v>
      </c>
      <c r="J34" s="143">
        <v>0.78</v>
      </c>
      <c r="K34" s="157">
        <f t="shared" si="3"/>
        <v>64.873846153846145</v>
      </c>
      <c r="L34" s="157">
        <f t="shared" si="4"/>
        <v>2642.3117538461538</v>
      </c>
      <c r="O34" s="154"/>
    </row>
    <row r="35" spans="2:15" ht="16.5" customHeight="1" x14ac:dyDescent="0.25">
      <c r="B35" s="154"/>
      <c r="C35" s="159">
        <f t="shared" si="2"/>
        <v>4800</v>
      </c>
      <c r="D35" s="154">
        <v>2160</v>
      </c>
      <c r="E35" s="143">
        <v>82.28</v>
      </c>
      <c r="F35" s="143">
        <v>3</v>
      </c>
      <c r="G35" s="143">
        <v>0.49</v>
      </c>
      <c r="H35" s="143">
        <v>19</v>
      </c>
      <c r="I35" s="143">
        <v>12</v>
      </c>
      <c r="J35" s="143">
        <v>0.78</v>
      </c>
      <c r="K35" s="157">
        <f t="shared" si="3"/>
        <v>64.873846153846145</v>
      </c>
      <c r="L35" s="157">
        <f t="shared" si="4"/>
        <v>5337.8200615384612</v>
      </c>
      <c r="O35" s="154"/>
    </row>
    <row r="36" spans="2:15" ht="16.5" customHeight="1" x14ac:dyDescent="0.25">
      <c r="B36" s="154">
        <v>14</v>
      </c>
      <c r="C36" s="159">
        <f t="shared" si="2"/>
        <v>1660.6666666666665</v>
      </c>
      <c r="D36" s="154">
        <v>747.3</v>
      </c>
      <c r="E36" s="143">
        <v>28</v>
      </c>
      <c r="F36" s="143">
        <v>3</v>
      </c>
      <c r="G36" s="143">
        <v>0.49</v>
      </c>
      <c r="H36" s="143">
        <v>19</v>
      </c>
      <c r="I36" s="143">
        <v>12</v>
      </c>
      <c r="J36" s="143">
        <v>0.78</v>
      </c>
      <c r="K36" s="157">
        <f t="shared" si="3"/>
        <v>64.873846153846145</v>
      </c>
      <c r="L36" s="157">
        <f t="shared" si="4"/>
        <v>1816.467692307692</v>
      </c>
      <c r="O36" s="154"/>
    </row>
    <row r="37" spans="2:15" ht="16.5" customHeight="1" x14ac:dyDescent="0.25">
      <c r="B37" s="154">
        <v>15</v>
      </c>
      <c r="C37" s="159">
        <f t="shared" si="2"/>
        <v>4591.2</v>
      </c>
      <c r="D37" s="154">
        <v>2066.04</v>
      </c>
      <c r="E37" s="143">
        <v>76.52</v>
      </c>
      <c r="F37" s="143">
        <v>3</v>
      </c>
      <c r="G37" s="143">
        <v>0.49</v>
      </c>
      <c r="H37" s="143">
        <v>19</v>
      </c>
      <c r="I37" s="143">
        <v>12</v>
      </c>
      <c r="J37" s="143">
        <v>0.78</v>
      </c>
      <c r="K37" s="157">
        <f t="shared" si="3"/>
        <v>64.873846153846145</v>
      </c>
      <c r="L37" s="157">
        <f t="shared" si="4"/>
        <v>4964.1467076923063</v>
      </c>
      <c r="O37" s="154"/>
    </row>
    <row r="38" spans="2:15" ht="16.5" customHeight="1" x14ac:dyDescent="0.25">
      <c r="B38" s="154">
        <v>16</v>
      </c>
      <c r="C38" s="159">
        <f t="shared" si="2"/>
        <v>4187.6222222222223</v>
      </c>
      <c r="D38" s="154">
        <v>1884.43</v>
      </c>
      <c r="E38" s="143">
        <v>111.11</v>
      </c>
      <c r="F38" s="143">
        <v>3</v>
      </c>
      <c r="G38" s="143">
        <v>0.49</v>
      </c>
      <c r="H38" s="143">
        <v>19</v>
      </c>
      <c r="I38" s="143">
        <v>12</v>
      </c>
      <c r="J38" s="143">
        <v>0.78</v>
      </c>
      <c r="K38" s="157">
        <f t="shared" si="3"/>
        <v>64.873846153846145</v>
      </c>
      <c r="L38" s="157">
        <f t="shared" si="4"/>
        <v>7208.1330461538455</v>
      </c>
      <c r="O38" s="154"/>
    </row>
    <row r="39" spans="2:15" ht="16.5" customHeight="1" x14ac:dyDescent="0.25">
      <c r="B39" s="154">
        <v>17</v>
      </c>
      <c r="C39" s="159">
        <f t="shared" si="2"/>
        <v>3686.1111111111109</v>
      </c>
      <c r="D39" s="154">
        <v>1658.75</v>
      </c>
      <c r="E39" s="143">
        <v>67.84</v>
      </c>
      <c r="F39" s="143">
        <v>3</v>
      </c>
      <c r="G39" s="143">
        <v>0.49</v>
      </c>
      <c r="H39" s="143">
        <v>19</v>
      </c>
      <c r="I39" s="143">
        <v>12</v>
      </c>
      <c r="J39" s="143">
        <v>0.78</v>
      </c>
      <c r="K39" s="157">
        <f t="shared" si="3"/>
        <v>64.873846153846145</v>
      </c>
      <c r="L39" s="157">
        <f t="shared" si="4"/>
        <v>4401.0417230769226</v>
      </c>
      <c r="O39" s="154"/>
    </row>
    <row r="40" spans="2:15" ht="16.5" customHeight="1" x14ac:dyDescent="0.25">
      <c r="B40" s="154">
        <v>18</v>
      </c>
      <c r="C40" s="159">
        <f t="shared" si="2"/>
        <v>1429.1333333333334</v>
      </c>
      <c r="D40" s="154">
        <v>643.11</v>
      </c>
      <c r="E40" s="143">
        <v>36.770000000000003</v>
      </c>
      <c r="F40" s="143">
        <v>3</v>
      </c>
      <c r="G40" s="143">
        <v>0.49</v>
      </c>
      <c r="H40" s="143">
        <v>19</v>
      </c>
      <c r="I40" s="143">
        <v>12</v>
      </c>
      <c r="J40" s="143">
        <v>0.78</v>
      </c>
      <c r="K40" s="157">
        <f t="shared" si="3"/>
        <v>64.873846153846145</v>
      </c>
      <c r="L40" s="157">
        <f t="shared" si="4"/>
        <v>2385.4113230769231</v>
      </c>
      <c r="O40" s="154"/>
    </row>
    <row r="41" spans="2:15" ht="16.5" customHeight="1" x14ac:dyDescent="0.25">
      <c r="B41" s="154">
        <v>19</v>
      </c>
      <c r="C41" s="159">
        <f t="shared" si="2"/>
        <v>3347.088888888889</v>
      </c>
      <c r="D41" s="154">
        <v>1506.19</v>
      </c>
      <c r="E41" s="143">
        <v>73.05</v>
      </c>
      <c r="F41" s="143">
        <v>3</v>
      </c>
      <c r="G41" s="143">
        <v>0.49</v>
      </c>
      <c r="H41" s="143">
        <v>19</v>
      </c>
      <c r="I41" s="143">
        <v>12</v>
      </c>
      <c r="J41" s="143">
        <v>0.78</v>
      </c>
      <c r="K41" s="157">
        <f t="shared" si="3"/>
        <v>64.873846153846145</v>
      </c>
      <c r="L41" s="157">
        <f t="shared" si="4"/>
        <v>4739.0344615384611</v>
      </c>
      <c r="O41" s="154"/>
    </row>
    <row r="42" spans="2:15" ht="16.5" customHeight="1" x14ac:dyDescent="0.25">
      <c r="B42" s="154">
        <v>20</v>
      </c>
      <c r="C42" s="159">
        <f t="shared" si="2"/>
        <v>4800</v>
      </c>
      <c r="D42" s="154">
        <v>2160</v>
      </c>
      <c r="E42" s="143">
        <v>111.563</v>
      </c>
      <c r="F42" s="143">
        <v>3</v>
      </c>
      <c r="G42" s="143">
        <v>0.49</v>
      </c>
      <c r="H42" s="143">
        <v>19</v>
      </c>
      <c r="I42" s="143">
        <v>12</v>
      </c>
      <c r="J42" s="143">
        <v>0.78</v>
      </c>
      <c r="K42" s="157">
        <f t="shared" si="3"/>
        <v>64.873846153846145</v>
      </c>
      <c r="L42" s="157">
        <f t="shared" si="4"/>
        <v>7237.5208984615374</v>
      </c>
      <c r="O42" s="154"/>
    </row>
    <row r="43" spans="2:15" ht="16.5" customHeight="1" x14ac:dyDescent="0.25">
      <c r="B43" s="154">
        <v>21</v>
      </c>
      <c r="C43" s="159">
        <f t="shared" si="2"/>
        <v>3017.4666666666662</v>
      </c>
      <c r="D43" s="154">
        <v>1357.86</v>
      </c>
      <c r="E43" s="143">
        <v>61</v>
      </c>
      <c r="F43" s="143">
        <v>3</v>
      </c>
      <c r="G43" s="143">
        <v>0.49</v>
      </c>
      <c r="H43" s="143">
        <v>19</v>
      </c>
      <c r="I43" s="143">
        <v>12</v>
      </c>
      <c r="J43" s="143">
        <v>0.78</v>
      </c>
      <c r="K43" s="157">
        <f t="shared" si="3"/>
        <v>64.873846153846145</v>
      </c>
      <c r="L43" s="157">
        <f t="shared" si="4"/>
        <v>3957.3046153846149</v>
      </c>
      <c r="O43" s="154"/>
    </row>
    <row r="44" spans="2:15" ht="16.5" customHeight="1" x14ac:dyDescent="0.25">
      <c r="B44" s="154">
        <v>22</v>
      </c>
      <c r="C44" s="159">
        <f t="shared" si="2"/>
        <v>3088.1333333333332</v>
      </c>
      <c r="D44" s="154">
        <v>1389.66</v>
      </c>
      <c r="E44" s="143">
        <v>68.64</v>
      </c>
      <c r="F44" s="143">
        <v>3</v>
      </c>
      <c r="G44" s="143">
        <v>0.49</v>
      </c>
      <c r="H44" s="143">
        <v>19</v>
      </c>
      <c r="I44" s="143">
        <v>12</v>
      </c>
      <c r="J44" s="143">
        <v>0.78</v>
      </c>
      <c r="K44" s="157">
        <f t="shared" si="3"/>
        <v>64.873846153846145</v>
      </c>
      <c r="L44" s="157">
        <f t="shared" si="4"/>
        <v>4452.9407999999994</v>
      </c>
      <c r="O44" s="154"/>
    </row>
    <row r="45" spans="2:15" ht="16.5" customHeight="1" x14ac:dyDescent="0.25">
      <c r="B45" s="154">
        <v>23</v>
      </c>
      <c r="C45" s="159">
        <f t="shared" si="2"/>
        <v>1777.7777777777778</v>
      </c>
      <c r="D45" s="154">
        <v>800</v>
      </c>
      <c r="E45" s="143">
        <v>80</v>
      </c>
      <c r="F45" s="143">
        <v>3</v>
      </c>
      <c r="G45" s="143">
        <v>0.49</v>
      </c>
      <c r="H45" s="143">
        <v>19</v>
      </c>
      <c r="I45" s="143">
        <v>12</v>
      </c>
      <c r="J45" s="143">
        <v>0.78</v>
      </c>
      <c r="K45" s="157">
        <f t="shared" si="3"/>
        <v>64.873846153846145</v>
      </c>
      <c r="L45" s="157">
        <f t="shared" si="4"/>
        <v>5189.9076923076918</v>
      </c>
      <c r="O45" s="154"/>
    </row>
    <row r="46" spans="2:15" ht="16.5" customHeight="1" x14ac:dyDescent="0.25">
      <c r="B46" s="154">
        <v>24</v>
      </c>
      <c r="C46" s="159">
        <f t="shared" si="2"/>
        <v>4088.8888888888887</v>
      </c>
      <c r="D46" s="154">
        <v>1840</v>
      </c>
      <c r="E46" s="143">
        <v>85.5</v>
      </c>
      <c r="F46" s="143">
        <v>3</v>
      </c>
      <c r="G46" s="143">
        <v>0.49</v>
      </c>
      <c r="H46" s="143">
        <v>19</v>
      </c>
      <c r="I46" s="143">
        <v>12</v>
      </c>
      <c r="J46" s="143">
        <v>0.78</v>
      </c>
      <c r="K46" s="157">
        <f t="shared" si="3"/>
        <v>64.873846153846145</v>
      </c>
      <c r="L46" s="157">
        <f t="shared" si="4"/>
        <v>5546.7138461538452</v>
      </c>
      <c r="O46" s="154"/>
    </row>
    <row r="47" spans="2:15" ht="16.5" customHeight="1" x14ac:dyDescent="0.25">
      <c r="B47" s="154">
        <v>25</v>
      </c>
      <c r="C47" s="159">
        <f t="shared" si="2"/>
        <v>3193.1333333333332</v>
      </c>
      <c r="D47" s="154">
        <v>1436.91</v>
      </c>
      <c r="E47" s="143">
        <v>75.31</v>
      </c>
      <c r="F47" s="143">
        <v>3</v>
      </c>
      <c r="G47" s="143">
        <v>0.49</v>
      </c>
      <c r="H47" s="143">
        <v>19</v>
      </c>
      <c r="I47" s="143">
        <v>12</v>
      </c>
      <c r="J47" s="143">
        <v>0.78</v>
      </c>
      <c r="K47" s="157">
        <f t="shared" si="3"/>
        <v>64.873846153846145</v>
      </c>
      <c r="L47" s="157">
        <f t="shared" si="4"/>
        <v>4885.6493538461536</v>
      </c>
      <c r="O47" s="154"/>
    </row>
    <row r="48" spans="2:15" ht="16.5" customHeight="1" x14ac:dyDescent="0.25">
      <c r="B48" s="154">
        <v>26</v>
      </c>
      <c r="C48" s="159">
        <f t="shared" si="2"/>
        <v>6427.1999999999989</v>
      </c>
      <c r="D48" s="154">
        <v>2892.24</v>
      </c>
      <c r="E48" s="143">
        <v>107.12</v>
      </c>
      <c r="F48" s="143">
        <v>3</v>
      </c>
      <c r="G48" s="143">
        <v>0.49</v>
      </c>
      <c r="H48" s="143">
        <v>19</v>
      </c>
      <c r="I48" s="143">
        <v>12</v>
      </c>
      <c r="J48" s="143">
        <v>0.78</v>
      </c>
      <c r="K48" s="157">
        <f t="shared" si="3"/>
        <v>64.873846153846145</v>
      </c>
      <c r="L48" s="157">
        <f t="shared" si="4"/>
        <v>6949.286399999999</v>
      </c>
      <c r="O48" s="154"/>
    </row>
    <row r="49" spans="2:15" ht="16.5" customHeight="1" x14ac:dyDescent="0.25">
      <c r="B49" s="154">
        <v>27</v>
      </c>
      <c r="C49" s="159">
        <f t="shared" si="2"/>
        <v>2002.2222222222222</v>
      </c>
      <c r="D49" s="154">
        <v>901</v>
      </c>
      <c r="E49" s="143">
        <v>40</v>
      </c>
      <c r="F49" s="143">
        <v>3</v>
      </c>
      <c r="G49" s="143">
        <v>0.49</v>
      </c>
      <c r="H49" s="143">
        <v>19</v>
      </c>
      <c r="I49" s="143">
        <v>12</v>
      </c>
      <c r="J49" s="143">
        <v>0.78</v>
      </c>
      <c r="K49" s="157">
        <f t="shared" si="3"/>
        <v>64.873846153846145</v>
      </c>
      <c r="L49" s="157">
        <f t="shared" si="4"/>
        <v>2594.9538461538459</v>
      </c>
      <c r="O49" s="154"/>
    </row>
    <row r="50" spans="2:15" ht="16.5" customHeight="1" x14ac:dyDescent="0.25">
      <c r="B50" s="154">
        <v>28</v>
      </c>
      <c r="C50" s="159">
        <f t="shared" si="2"/>
        <v>1777.7777777777778</v>
      </c>
      <c r="D50" s="154">
        <v>800</v>
      </c>
      <c r="E50" s="143">
        <v>90</v>
      </c>
      <c r="F50" s="143">
        <v>3</v>
      </c>
      <c r="G50" s="143">
        <v>0.49</v>
      </c>
      <c r="H50" s="143">
        <v>19</v>
      </c>
      <c r="I50" s="143">
        <v>12</v>
      </c>
      <c r="J50" s="143">
        <v>0.78</v>
      </c>
      <c r="K50" s="157">
        <f t="shared" si="3"/>
        <v>64.873846153846145</v>
      </c>
      <c r="L50" s="157">
        <f t="shared" si="4"/>
        <v>5838.6461538461526</v>
      </c>
      <c r="O50" s="154"/>
    </row>
    <row r="51" spans="2:15" ht="16.5" customHeight="1" x14ac:dyDescent="0.25">
      <c r="B51" s="154">
        <v>29</v>
      </c>
      <c r="C51" s="159">
        <f t="shared" si="2"/>
        <v>693.33333333333337</v>
      </c>
      <c r="D51" s="154">
        <v>312</v>
      </c>
      <c r="E51" s="143">
        <v>24</v>
      </c>
      <c r="F51" s="143">
        <v>3</v>
      </c>
      <c r="G51" s="143">
        <v>0.49</v>
      </c>
      <c r="H51" s="143">
        <v>19</v>
      </c>
      <c r="I51" s="143">
        <v>12</v>
      </c>
      <c r="J51" s="143">
        <v>0.78</v>
      </c>
      <c r="K51" s="157">
        <f t="shared" si="3"/>
        <v>64.873846153846145</v>
      </c>
      <c r="L51" s="157">
        <f t="shared" si="4"/>
        <v>1556.9723076923074</v>
      </c>
      <c r="O51" s="154"/>
    </row>
    <row r="52" spans="2:15" ht="16.5" customHeight="1" x14ac:dyDescent="0.25">
      <c r="B52" s="154">
        <v>30</v>
      </c>
      <c r="C52" s="159">
        <f t="shared" si="2"/>
        <v>2359.5777777777776</v>
      </c>
      <c r="D52" s="154">
        <v>1061.81</v>
      </c>
      <c r="E52" s="143">
        <v>60.71</v>
      </c>
      <c r="F52" s="143">
        <v>3</v>
      </c>
      <c r="G52" s="143">
        <v>0.49</v>
      </c>
      <c r="H52" s="143">
        <v>19</v>
      </c>
      <c r="I52" s="143">
        <v>12</v>
      </c>
      <c r="J52" s="143">
        <v>0.78</v>
      </c>
      <c r="K52" s="157">
        <f t="shared" si="3"/>
        <v>64.873846153846145</v>
      </c>
      <c r="L52" s="157">
        <f t="shared" si="4"/>
        <v>3938.4911999999995</v>
      </c>
      <c r="O52" s="154"/>
    </row>
    <row r="53" spans="2:15" ht="16.5" customHeight="1" x14ac:dyDescent="0.25">
      <c r="B53" s="154">
        <v>31</v>
      </c>
      <c r="C53" s="159">
        <f t="shared" si="2"/>
        <v>4800</v>
      </c>
      <c r="D53" s="154">
        <v>2160</v>
      </c>
      <c r="E53" s="143">
        <v>81.400000000000006</v>
      </c>
      <c r="F53" s="143">
        <v>3</v>
      </c>
      <c r="G53" s="143">
        <v>0.49</v>
      </c>
      <c r="H53" s="143">
        <v>19</v>
      </c>
      <c r="I53" s="143">
        <v>12</v>
      </c>
      <c r="J53" s="143">
        <v>0.78</v>
      </c>
      <c r="K53" s="157">
        <f t="shared" si="3"/>
        <v>64.873846153846145</v>
      </c>
      <c r="L53" s="157">
        <f t="shared" si="4"/>
        <v>5280.7310769230762</v>
      </c>
      <c r="O53" s="154"/>
    </row>
    <row r="54" spans="2:15" ht="16.5" customHeight="1" x14ac:dyDescent="0.25">
      <c r="B54" s="154">
        <v>32</v>
      </c>
      <c r="C54" s="159">
        <f t="shared" si="2"/>
        <v>4080</v>
      </c>
      <c r="D54" s="154">
        <v>1836</v>
      </c>
      <c r="E54" s="143">
        <v>68</v>
      </c>
      <c r="F54" s="143">
        <v>3</v>
      </c>
      <c r="G54" s="143">
        <v>0.49</v>
      </c>
      <c r="H54" s="143">
        <v>19</v>
      </c>
      <c r="I54" s="143">
        <v>12</v>
      </c>
      <c r="J54" s="143">
        <v>0.78</v>
      </c>
      <c r="K54" s="157">
        <f t="shared" si="3"/>
        <v>64.873846153846145</v>
      </c>
      <c r="L54" s="157">
        <f t="shared" si="4"/>
        <v>4411.4215384615381</v>
      </c>
      <c r="O54" s="154"/>
    </row>
    <row r="55" spans="2:15" ht="16.5" customHeight="1" x14ac:dyDescent="0.25">
      <c r="B55" s="154">
        <v>33</v>
      </c>
      <c r="C55" s="159">
        <f t="shared" si="2"/>
        <v>4770</v>
      </c>
      <c r="D55" s="154">
        <v>2146.5</v>
      </c>
      <c r="E55" s="143">
        <v>79.5</v>
      </c>
      <c r="F55" s="143">
        <v>3</v>
      </c>
      <c r="G55" s="143">
        <v>0.49</v>
      </c>
      <c r="H55" s="143">
        <v>19</v>
      </c>
      <c r="I55" s="143">
        <v>12</v>
      </c>
      <c r="J55" s="143">
        <v>0.78</v>
      </c>
      <c r="K55" s="157">
        <f t="shared" si="3"/>
        <v>64.873846153846145</v>
      </c>
      <c r="L55" s="157">
        <f t="shared" si="4"/>
        <v>5157.4707692307684</v>
      </c>
      <c r="O55" s="154"/>
    </row>
    <row r="56" spans="2:15" ht="16.5" customHeight="1" x14ac:dyDescent="0.25">
      <c r="B56" s="154">
        <v>34</v>
      </c>
      <c r="C56" s="159">
        <f t="shared" si="2"/>
        <v>3756</v>
      </c>
      <c r="D56" s="154">
        <v>1690.2</v>
      </c>
      <c r="E56" s="143">
        <v>62.6</v>
      </c>
      <c r="F56" s="143">
        <v>3</v>
      </c>
      <c r="G56" s="143">
        <v>0.49</v>
      </c>
      <c r="H56" s="143">
        <v>19</v>
      </c>
      <c r="I56" s="143">
        <v>12</v>
      </c>
      <c r="J56" s="143">
        <v>0.78</v>
      </c>
      <c r="K56" s="157">
        <f t="shared" si="3"/>
        <v>64.873846153846145</v>
      </c>
      <c r="L56" s="157">
        <f t="shared" si="4"/>
        <v>4061.1027692307689</v>
      </c>
      <c r="O56" s="154"/>
    </row>
    <row r="57" spans="2:15" ht="16.5" customHeight="1" x14ac:dyDescent="0.25">
      <c r="B57" s="154">
        <v>35</v>
      </c>
      <c r="C57" s="159">
        <f t="shared" si="2"/>
        <v>0</v>
      </c>
      <c r="D57" s="154"/>
      <c r="E57" s="143"/>
      <c r="F57" s="143">
        <v>3</v>
      </c>
      <c r="G57" s="143">
        <v>0.49</v>
      </c>
      <c r="H57" s="143">
        <v>19</v>
      </c>
      <c r="I57" s="143">
        <v>12</v>
      </c>
      <c r="J57" s="143">
        <v>0.78</v>
      </c>
      <c r="K57" s="157">
        <f t="shared" si="3"/>
        <v>64.873846153846145</v>
      </c>
      <c r="L57" s="157">
        <f t="shared" si="4"/>
        <v>0</v>
      </c>
      <c r="O57" s="154"/>
    </row>
    <row r="58" spans="2:15" ht="16.5" customHeight="1" x14ac:dyDescent="0.25">
      <c r="B58" s="154">
        <v>36</v>
      </c>
      <c r="C58" s="154"/>
      <c r="D58" s="154"/>
      <c r="E58" s="143"/>
      <c r="F58" s="143">
        <v>3</v>
      </c>
      <c r="G58" s="143">
        <v>0.49</v>
      </c>
      <c r="H58" s="143">
        <v>19</v>
      </c>
      <c r="I58" s="143">
        <v>12</v>
      </c>
      <c r="J58" s="143">
        <v>0.78</v>
      </c>
      <c r="K58" s="157">
        <f t="shared" si="3"/>
        <v>64.873846153846145</v>
      </c>
      <c r="L58" s="157">
        <f t="shared" si="4"/>
        <v>0</v>
      </c>
      <c r="O58" s="154"/>
    </row>
    <row r="59" spans="2:15" ht="16.5" customHeight="1" x14ac:dyDescent="0.25">
      <c r="B59" s="154">
        <v>37</v>
      </c>
      <c r="C59" s="154"/>
      <c r="D59" s="154"/>
      <c r="E59" s="143"/>
      <c r="F59" s="143"/>
      <c r="G59" s="143"/>
      <c r="H59" s="143">
        <v>19</v>
      </c>
      <c r="I59" s="143">
        <v>12</v>
      </c>
      <c r="J59" s="143">
        <v>0.78</v>
      </c>
      <c r="K59" s="157">
        <f t="shared" ref="K59:K69" si="5">(F59-G59)*1*((H59-G$5-H$5)-I59)*L$5/J59/1000</f>
        <v>0</v>
      </c>
      <c r="L59" s="157">
        <f t="shared" ref="L59:L69" si="6">E59*K59</f>
        <v>0</v>
      </c>
      <c r="O59" s="154"/>
    </row>
    <row r="60" spans="2:15" ht="16.5" customHeight="1" x14ac:dyDescent="0.25">
      <c r="B60" s="154">
        <v>38</v>
      </c>
      <c r="C60" s="154"/>
      <c r="D60" s="154"/>
      <c r="E60" s="143"/>
      <c r="F60" s="143"/>
      <c r="G60" s="143"/>
      <c r="H60" s="143">
        <v>19</v>
      </c>
      <c r="I60" s="143">
        <v>12</v>
      </c>
      <c r="J60" s="143">
        <v>0.78</v>
      </c>
      <c r="K60" s="157">
        <f t="shared" si="5"/>
        <v>0</v>
      </c>
      <c r="L60" s="157">
        <f t="shared" si="6"/>
        <v>0</v>
      </c>
      <c r="O60" s="154"/>
    </row>
    <row r="61" spans="2:15" ht="16.5" customHeight="1" x14ac:dyDescent="0.25">
      <c r="B61" s="154">
        <v>39</v>
      </c>
      <c r="C61" s="154"/>
      <c r="D61" s="154"/>
      <c r="E61" s="143"/>
      <c r="F61" s="143"/>
      <c r="G61" s="143"/>
      <c r="H61" s="143">
        <v>19</v>
      </c>
      <c r="I61" s="143">
        <v>12</v>
      </c>
      <c r="J61" s="143">
        <v>0.78</v>
      </c>
      <c r="K61" s="157">
        <f t="shared" si="5"/>
        <v>0</v>
      </c>
      <c r="L61" s="157">
        <f t="shared" si="6"/>
        <v>0</v>
      </c>
      <c r="O61" s="154"/>
    </row>
    <row r="62" spans="2:15" ht="16.5" customHeight="1" x14ac:dyDescent="0.25">
      <c r="B62" s="154">
        <v>40</v>
      </c>
      <c r="C62" s="154"/>
      <c r="D62" s="154"/>
      <c r="E62" s="143"/>
      <c r="F62" s="143"/>
      <c r="G62" s="143"/>
      <c r="H62" s="143">
        <v>19</v>
      </c>
      <c r="I62" s="143">
        <v>12</v>
      </c>
      <c r="J62" s="143">
        <v>0.78</v>
      </c>
      <c r="K62" s="157">
        <f t="shared" si="5"/>
        <v>0</v>
      </c>
      <c r="L62" s="157">
        <f t="shared" si="6"/>
        <v>0</v>
      </c>
      <c r="O62" s="154"/>
    </row>
    <row r="63" spans="2:15" ht="16.5" customHeight="1" x14ac:dyDescent="0.25">
      <c r="B63" s="154">
        <v>41</v>
      </c>
      <c r="C63" s="154"/>
      <c r="D63" s="154"/>
      <c r="E63" s="143"/>
      <c r="F63" s="143"/>
      <c r="G63" s="143"/>
      <c r="H63" s="143">
        <v>19</v>
      </c>
      <c r="I63" s="143">
        <v>12</v>
      </c>
      <c r="J63" s="143">
        <v>0.78</v>
      </c>
      <c r="K63" s="157">
        <f t="shared" si="5"/>
        <v>0</v>
      </c>
      <c r="L63" s="157">
        <f t="shared" si="6"/>
        <v>0</v>
      </c>
      <c r="O63" s="154"/>
    </row>
    <row r="64" spans="2:15" ht="16.5" customHeight="1" x14ac:dyDescent="0.25">
      <c r="B64" s="154">
        <v>42</v>
      </c>
      <c r="C64" s="154"/>
      <c r="D64" s="154"/>
      <c r="E64" s="143"/>
      <c r="F64" s="143"/>
      <c r="G64" s="143"/>
      <c r="H64" s="143">
        <v>19</v>
      </c>
      <c r="I64" s="143">
        <v>12</v>
      </c>
      <c r="J64" s="143">
        <v>0.78</v>
      </c>
      <c r="K64" s="157">
        <f t="shared" si="5"/>
        <v>0</v>
      </c>
      <c r="L64" s="157">
        <f t="shared" si="6"/>
        <v>0</v>
      </c>
      <c r="O64" s="154"/>
    </row>
    <row r="65" spans="2:15" ht="16.5" customHeight="1" x14ac:dyDescent="0.25">
      <c r="B65" s="154">
        <v>43</v>
      </c>
      <c r="C65" s="154"/>
      <c r="D65" s="154"/>
      <c r="E65" s="143"/>
      <c r="F65" s="143"/>
      <c r="G65" s="143"/>
      <c r="H65" s="143">
        <v>19</v>
      </c>
      <c r="I65" s="143">
        <v>12</v>
      </c>
      <c r="J65" s="143">
        <v>0.78</v>
      </c>
      <c r="K65" s="157">
        <f t="shared" si="5"/>
        <v>0</v>
      </c>
      <c r="L65" s="157">
        <f t="shared" si="6"/>
        <v>0</v>
      </c>
      <c r="O65" s="154"/>
    </row>
    <row r="66" spans="2:15" ht="16.5" customHeight="1" x14ac:dyDescent="0.25">
      <c r="B66" s="154">
        <v>44</v>
      </c>
      <c r="C66" s="154"/>
      <c r="D66" s="154"/>
      <c r="E66" s="143"/>
      <c r="F66" s="143"/>
      <c r="G66" s="143"/>
      <c r="H66" s="143">
        <v>19</v>
      </c>
      <c r="I66" s="143">
        <v>12</v>
      </c>
      <c r="J66" s="143">
        <v>0.78</v>
      </c>
      <c r="K66" s="157">
        <f t="shared" si="5"/>
        <v>0</v>
      </c>
      <c r="L66" s="157">
        <f t="shared" si="6"/>
        <v>0</v>
      </c>
      <c r="O66" s="154"/>
    </row>
    <row r="67" spans="2:15" ht="16.5" customHeight="1" x14ac:dyDescent="0.25">
      <c r="B67" s="154">
        <v>45</v>
      </c>
      <c r="C67" s="154"/>
      <c r="D67" s="154"/>
      <c r="E67" s="143"/>
      <c r="F67" s="143"/>
      <c r="G67" s="143"/>
      <c r="H67" s="143">
        <v>19</v>
      </c>
      <c r="I67" s="143">
        <v>12</v>
      </c>
      <c r="J67" s="143">
        <v>0.78</v>
      </c>
      <c r="K67" s="157">
        <f t="shared" si="5"/>
        <v>0</v>
      </c>
      <c r="L67" s="157">
        <f t="shared" si="6"/>
        <v>0</v>
      </c>
      <c r="O67" s="154"/>
    </row>
    <row r="68" spans="2:15" ht="16.5" customHeight="1" x14ac:dyDescent="0.25">
      <c r="B68" s="154">
        <v>46</v>
      </c>
      <c r="C68" s="154"/>
      <c r="D68" s="154"/>
      <c r="E68" s="143"/>
      <c r="F68" s="143"/>
      <c r="G68" s="143"/>
      <c r="H68" s="143">
        <v>19</v>
      </c>
      <c r="I68" s="143">
        <v>12</v>
      </c>
      <c r="J68" s="143">
        <v>0.78</v>
      </c>
      <c r="K68" s="157">
        <f t="shared" si="5"/>
        <v>0</v>
      </c>
      <c r="L68" s="157">
        <f t="shared" si="6"/>
        <v>0</v>
      </c>
      <c r="O68" s="154"/>
    </row>
    <row r="69" spans="2:15" ht="16.5" customHeight="1" x14ac:dyDescent="0.25">
      <c r="B69" s="154">
        <v>47</v>
      </c>
      <c r="C69" s="154"/>
      <c r="D69" s="154"/>
      <c r="E69" s="143"/>
      <c r="F69" s="143"/>
      <c r="G69" s="143"/>
      <c r="H69" s="143">
        <v>19</v>
      </c>
      <c r="I69" s="143">
        <v>12</v>
      </c>
      <c r="J69" s="143">
        <v>0.78</v>
      </c>
      <c r="K69" s="157">
        <f t="shared" si="5"/>
        <v>0</v>
      </c>
      <c r="L69" s="157">
        <f t="shared" si="6"/>
        <v>0</v>
      </c>
      <c r="O69" s="154"/>
    </row>
    <row r="70" spans="2:15" ht="16.5" customHeight="1" x14ac:dyDescent="0.25">
      <c r="B70" s="2"/>
      <c r="C70" s="162">
        <f>SUM(C7:C69)</f>
        <v>169084.22222222222</v>
      </c>
      <c r="D70" s="162">
        <f>SUM(D7:D69)</f>
        <v>76087.900000000009</v>
      </c>
      <c r="E70" s="163"/>
      <c r="F70" s="163"/>
      <c r="G70" s="163"/>
      <c r="H70" s="163"/>
      <c r="I70" s="163"/>
      <c r="J70" s="163"/>
      <c r="K70" s="163"/>
      <c r="L70" s="162">
        <f>SUM(L7:L69)</f>
        <v>235293.22319999995</v>
      </c>
      <c r="O70" s="162">
        <f>SUM(O7:O69)</f>
        <v>0</v>
      </c>
    </row>
    <row r="71" spans="2:15" ht="16.5" customHeight="1" x14ac:dyDescent="0.25">
      <c r="B71" s="2"/>
      <c r="C71" s="2"/>
      <c r="D71" s="2"/>
      <c r="E71" s="163"/>
      <c r="F71" s="163"/>
      <c r="G71" s="163"/>
      <c r="H71" s="163"/>
      <c r="I71" s="163"/>
      <c r="J71" s="163"/>
      <c r="K71" s="163"/>
      <c r="L71" s="163"/>
    </row>
    <row r="72" spans="2:15" ht="16.5" customHeight="1" x14ac:dyDescent="0.25">
      <c r="B72" s="2"/>
      <c r="C72" s="2"/>
      <c r="D72" s="2"/>
      <c r="E72" s="163"/>
      <c r="F72" s="163"/>
      <c r="G72" s="163"/>
      <c r="H72" s="163"/>
      <c r="I72" s="163"/>
      <c r="J72" s="163"/>
      <c r="K72" s="163"/>
      <c r="L72" s="163"/>
    </row>
    <row r="74" spans="2:15" ht="16.5" customHeight="1" x14ac:dyDescent="0.25">
      <c r="B74" s="1004" t="s">
        <v>351</v>
      </c>
      <c r="C74" s="164"/>
      <c r="D74" s="164"/>
      <c r="F74" s="143"/>
      <c r="G74" s="143"/>
      <c r="H74" s="143"/>
      <c r="I74" s="143"/>
      <c r="J74" s="143"/>
      <c r="K74" s="143"/>
      <c r="L74" s="143"/>
    </row>
    <row r="75" spans="2:15" ht="16.5" customHeight="1" x14ac:dyDescent="0.25">
      <c r="B75" s="1004"/>
      <c r="C75" s="165"/>
      <c r="D75" s="165"/>
      <c r="E75" s="143">
        <v>3</v>
      </c>
      <c r="F75" s="143"/>
      <c r="G75" s="143"/>
      <c r="H75" s="143"/>
      <c r="I75" s="143"/>
      <c r="J75" s="143"/>
      <c r="K75" s="143"/>
      <c r="L75" s="143"/>
    </row>
    <row r="76" spans="2:15" ht="16.5" customHeight="1" x14ac:dyDescent="0.25">
      <c r="B76" s="1004"/>
      <c r="C76" s="165"/>
      <c r="D76" s="165"/>
      <c r="E76" s="143">
        <v>0.5</v>
      </c>
      <c r="F76" s="143"/>
      <c r="G76" s="143"/>
      <c r="H76" s="143"/>
      <c r="I76" s="143"/>
      <c r="J76" s="143"/>
      <c r="K76" s="143"/>
      <c r="L76" s="143"/>
    </row>
    <row r="77" spans="2:15" ht="16.5" customHeight="1" x14ac:dyDescent="0.25">
      <c r="B77" s="1004"/>
      <c r="C77" s="165"/>
      <c r="D77" s="165"/>
      <c r="E77" s="143">
        <v>16</v>
      </c>
      <c r="F77" s="143"/>
      <c r="G77" s="143"/>
      <c r="H77" s="143"/>
      <c r="I77" s="143"/>
      <c r="J77" s="143"/>
      <c r="K77" s="143"/>
      <c r="L77" s="143"/>
    </row>
    <row r="78" spans="2:15" ht="16.5" customHeight="1" x14ac:dyDescent="0.25">
      <c r="E78" s="143">
        <v>3</v>
      </c>
      <c r="F78" s="143"/>
      <c r="G78" s="143"/>
      <c r="H78" s="143"/>
      <c r="I78" s="143"/>
      <c r="J78" s="143"/>
      <c r="K78" s="143"/>
      <c r="L78" s="143"/>
    </row>
    <row r="79" spans="2:15" ht="16.5" customHeight="1" x14ac:dyDescent="0.25">
      <c r="E79" s="143">
        <v>3</v>
      </c>
      <c r="F79" s="143"/>
      <c r="G79" s="143"/>
      <c r="H79" s="143"/>
      <c r="I79" s="143"/>
      <c r="J79" s="143"/>
      <c r="K79" s="143"/>
      <c r="L79" s="143"/>
    </row>
    <row r="80" spans="2:15" ht="16.5" customHeight="1" x14ac:dyDescent="0.25">
      <c r="E80" s="143">
        <v>5.5</v>
      </c>
      <c r="F80" s="143"/>
      <c r="G80" s="143"/>
      <c r="H80" s="143"/>
      <c r="I80" s="143"/>
      <c r="J80" s="143"/>
      <c r="K80" s="143"/>
      <c r="L80" s="143"/>
    </row>
    <row r="81" spans="2:12" ht="16.5" customHeight="1" x14ac:dyDescent="0.25">
      <c r="E81" s="143">
        <v>0.78</v>
      </c>
      <c r="F81" s="143"/>
      <c r="G81" s="143"/>
      <c r="H81" s="143"/>
      <c r="I81" s="143"/>
      <c r="J81" s="143"/>
      <c r="K81" s="143"/>
      <c r="L81" s="143"/>
    </row>
    <row r="82" spans="2:12" ht="16.5" customHeight="1" x14ac:dyDescent="0.25">
      <c r="F82" s="157"/>
      <c r="G82" s="157"/>
      <c r="H82" s="157"/>
      <c r="I82" s="157"/>
      <c r="J82" s="157"/>
      <c r="K82" s="157"/>
      <c r="L82" s="157"/>
    </row>
    <row r="84" spans="2:12" ht="16.5" customHeight="1" x14ac:dyDescent="0.25">
      <c r="B84" s="37" t="s">
        <v>352</v>
      </c>
    </row>
    <row r="85" spans="2:12" ht="16.5" customHeight="1" x14ac:dyDescent="0.25">
      <c r="B85" s="37" t="s">
        <v>353</v>
      </c>
    </row>
    <row r="86" spans="2:12" ht="16.5" customHeight="1" x14ac:dyDescent="0.25">
      <c r="B86" s="37" t="s">
        <v>354</v>
      </c>
    </row>
    <row r="87" spans="2:12" ht="16.5" customHeight="1" x14ac:dyDescent="0.25">
      <c r="B87" s="37" t="s">
        <v>355</v>
      </c>
    </row>
    <row r="88" spans="2:12" ht="16.5" customHeight="1" x14ac:dyDescent="0.25">
      <c r="B88" s="37" t="s">
        <v>356</v>
      </c>
    </row>
    <row r="89" spans="2:12" ht="16.5" customHeight="1" x14ac:dyDescent="0.25">
      <c r="B89" s="37" t="s">
        <v>357</v>
      </c>
    </row>
    <row r="90" spans="2:12" ht="16.5" customHeight="1" x14ac:dyDescent="0.25">
      <c r="B90" s="37" t="s">
        <v>358</v>
      </c>
    </row>
    <row r="91" spans="2:12" ht="16.5" customHeight="1" x14ac:dyDescent="0.25">
      <c r="B91" s="37" t="s">
        <v>359</v>
      </c>
    </row>
    <row r="92" spans="2:12" ht="16.5" customHeight="1" x14ac:dyDescent="0.25">
      <c r="B92" s="37" t="s">
        <v>360</v>
      </c>
    </row>
    <row r="93" spans="2:12" ht="16.5" customHeight="1" x14ac:dyDescent="0.25">
      <c r="B93" s="37" t="s">
        <v>361</v>
      </c>
    </row>
    <row r="95" spans="2:12" ht="16.5" customHeight="1" x14ac:dyDescent="0.25">
      <c r="B95" s="37" t="s">
        <v>362</v>
      </c>
    </row>
    <row r="97" spans="2:12" ht="16.5" customHeight="1" x14ac:dyDescent="0.25">
      <c r="B97" s="37" t="s">
        <v>363</v>
      </c>
    </row>
    <row r="99" spans="2:12" ht="16.5" customHeight="1" x14ac:dyDescent="0.25">
      <c r="B99" s="37" t="s">
        <v>364</v>
      </c>
      <c r="E99" s="37"/>
      <c r="F99" s="37"/>
      <c r="G99" s="37"/>
      <c r="H99" s="37"/>
      <c r="I99" s="37"/>
      <c r="J99" s="37"/>
      <c r="K99" s="37"/>
      <c r="L99" s="37"/>
    </row>
    <row r="101" spans="2:12" ht="16.5" customHeight="1" x14ac:dyDescent="0.25">
      <c r="B101" s="37" t="s">
        <v>332</v>
      </c>
      <c r="E101" s="37"/>
      <c r="F101" s="37"/>
      <c r="G101" s="37"/>
      <c r="H101" s="37"/>
      <c r="I101" s="37"/>
      <c r="J101" s="37"/>
      <c r="K101" s="37"/>
      <c r="L101" s="37"/>
    </row>
    <row r="102" spans="2:12" ht="16.5" customHeight="1" x14ac:dyDescent="0.25">
      <c r="B102" s="37" t="s">
        <v>365</v>
      </c>
      <c r="E102" s="37"/>
      <c r="F102" s="37"/>
      <c r="G102" s="37"/>
      <c r="H102" s="37"/>
      <c r="I102" s="37"/>
      <c r="J102" s="37"/>
      <c r="K102" s="37"/>
      <c r="L102" s="37"/>
    </row>
    <row r="104" spans="2:12" ht="16.5" customHeight="1" x14ac:dyDescent="0.25">
      <c r="B104" s="37" t="s">
        <v>366</v>
      </c>
      <c r="E104" s="37"/>
      <c r="F104" s="37"/>
      <c r="G104" s="37"/>
      <c r="H104" s="37"/>
      <c r="I104" s="37"/>
      <c r="J104" s="37"/>
      <c r="K104" s="37"/>
      <c r="L104" s="37"/>
    </row>
    <row r="105" spans="2:12" ht="16.5" customHeight="1" x14ac:dyDescent="0.25">
      <c r="B105" s="37" t="s">
        <v>367</v>
      </c>
      <c r="E105" s="37"/>
      <c r="F105" s="37"/>
      <c r="G105" s="37"/>
      <c r="H105" s="37"/>
      <c r="I105" s="37"/>
      <c r="J105" s="37"/>
      <c r="K105" s="37"/>
      <c r="L105" s="37"/>
    </row>
    <row r="106" spans="2:12" ht="16.5" customHeight="1" x14ac:dyDescent="0.25">
      <c r="B106" s="37" t="s">
        <v>368</v>
      </c>
      <c r="E106" s="37"/>
      <c r="F106" s="37"/>
      <c r="G106" s="37"/>
      <c r="H106" s="37"/>
      <c r="I106" s="37"/>
      <c r="J106" s="37"/>
      <c r="K106" s="37"/>
      <c r="L106" s="37"/>
    </row>
    <row r="107" spans="2:12" ht="16.5" customHeight="1" x14ac:dyDescent="0.25">
      <c r="B107" s="37" t="s">
        <v>369</v>
      </c>
      <c r="E107" s="37"/>
      <c r="F107" s="37"/>
      <c r="G107" s="37"/>
      <c r="H107" s="37"/>
      <c r="I107" s="37"/>
      <c r="J107" s="37"/>
      <c r="K107" s="37"/>
      <c r="L107" s="37"/>
    </row>
    <row r="108" spans="2:12" ht="16.5" customHeight="1" x14ac:dyDescent="0.25">
      <c r="B108" s="37" t="s">
        <v>370</v>
      </c>
      <c r="E108" s="37"/>
      <c r="F108" s="37"/>
      <c r="G108" s="37"/>
      <c r="H108" s="37"/>
      <c r="I108" s="37"/>
      <c r="J108" s="37"/>
      <c r="K108" s="37"/>
      <c r="L108" s="37"/>
    </row>
    <row r="110" spans="2:12" ht="16.5" customHeight="1" x14ac:dyDescent="0.25">
      <c r="B110" s="37" t="s">
        <v>371</v>
      </c>
      <c r="E110" s="37"/>
      <c r="F110" s="37"/>
      <c r="G110" s="37"/>
      <c r="H110" s="37"/>
      <c r="I110" s="37"/>
      <c r="J110" s="37"/>
      <c r="K110" s="37"/>
      <c r="L110" s="37"/>
    </row>
  </sheetData>
  <mergeCells count="3">
    <mergeCell ref="B3:H3"/>
    <mergeCell ref="I3:L3"/>
    <mergeCell ref="B74:B77"/>
  </mergeCells>
  <pageMargins left="0.7" right="0.7" top="0.75" bottom="0.75" header="0.3" footer="0.3"/>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O42"/>
  <sheetViews>
    <sheetView workbookViewId="0">
      <selection activeCell="F13" sqref="F13"/>
    </sheetView>
  </sheetViews>
  <sheetFormatPr baseColWidth="10" defaultRowHeight="15" x14ac:dyDescent="0.25"/>
  <cols>
    <col min="1" max="1" width="11.42578125" style="37"/>
    <col min="2" max="2" width="5.7109375" style="37" customWidth="1"/>
    <col min="3" max="3" width="13" style="37" customWidth="1"/>
    <col min="4" max="4" width="9.42578125" style="37" customWidth="1"/>
    <col min="5" max="5" width="9.5703125" style="148" customWidth="1"/>
    <col min="6" max="7" width="11.42578125" style="148"/>
    <col min="8" max="12" width="11.42578125" style="148" customWidth="1"/>
    <col min="13" max="16384" width="11.42578125" style="37"/>
  </cols>
  <sheetData>
    <row r="1" spans="2:15" x14ac:dyDescent="0.25">
      <c r="B1" s="37" t="s">
        <v>83</v>
      </c>
      <c r="J1" s="148" t="s">
        <v>332</v>
      </c>
    </row>
    <row r="2" spans="2:15" x14ac:dyDescent="0.25">
      <c r="B2" s="37" t="s">
        <v>333</v>
      </c>
      <c r="J2" s="148" t="s">
        <v>334</v>
      </c>
    </row>
    <row r="3" spans="2:15" ht="18" customHeight="1" x14ac:dyDescent="0.3">
      <c r="B3" s="1001" t="s">
        <v>375</v>
      </c>
      <c r="C3" s="1001"/>
      <c r="D3" s="1001"/>
      <c r="E3" s="1001"/>
      <c r="F3" s="1001"/>
      <c r="G3" s="1001"/>
      <c r="H3" s="1001"/>
      <c r="I3" s="1002" t="s">
        <v>336</v>
      </c>
      <c r="J3" s="1002"/>
      <c r="K3" s="1002"/>
      <c r="L3" s="1003"/>
    </row>
    <row r="4" spans="2:15" ht="18" customHeight="1" x14ac:dyDescent="0.3">
      <c r="B4" s="149"/>
      <c r="E4" s="150"/>
      <c r="F4" s="151"/>
      <c r="G4" s="151"/>
      <c r="H4" s="151"/>
      <c r="I4" s="152"/>
      <c r="J4" s="152"/>
      <c r="K4" s="152"/>
      <c r="L4" s="150"/>
    </row>
    <row r="5" spans="2:15" ht="28.5" customHeight="1" x14ac:dyDescent="0.25">
      <c r="B5" s="153" t="s">
        <v>337</v>
      </c>
      <c r="C5" s="154" t="s">
        <v>338</v>
      </c>
      <c r="D5" s="155" t="s">
        <v>339</v>
      </c>
      <c r="E5" s="156"/>
      <c r="F5" s="157" t="s">
        <v>340</v>
      </c>
      <c r="G5" s="157">
        <v>3</v>
      </c>
      <c r="H5" s="157">
        <v>3</v>
      </c>
      <c r="I5" s="157" t="s">
        <v>341</v>
      </c>
      <c r="J5" s="157">
        <v>10</v>
      </c>
      <c r="K5" s="157" t="s">
        <v>373</v>
      </c>
      <c r="L5" s="143">
        <v>5040</v>
      </c>
      <c r="O5" s="154"/>
    </row>
    <row r="6" spans="2:15" x14ac:dyDescent="0.25">
      <c r="B6" s="143"/>
      <c r="C6" s="154"/>
      <c r="D6" s="158" t="s">
        <v>343</v>
      </c>
      <c r="E6" s="143" t="s">
        <v>344</v>
      </c>
      <c r="F6" s="143" t="s">
        <v>345</v>
      </c>
      <c r="G6" s="143" t="s">
        <v>346</v>
      </c>
      <c r="H6" s="143" t="s">
        <v>347</v>
      </c>
      <c r="I6" s="143" t="s">
        <v>348</v>
      </c>
      <c r="J6" s="157" t="s">
        <v>349</v>
      </c>
      <c r="K6" s="143" t="s">
        <v>350</v>
      </c>
      <c r="L6" s="143" t="s">
        <v>155</v>
      </c>
      <c r="O6" s="158" t="s">
        <v>376</v>
      </c>
    </row>
    <row r="7" spans="2:15" x14ac:dyDescent="0.25">
      <c r="B7" s="154">
        <v>1</v>
      </c>
      <c r="C7" s="241">
        <v>4649.32</v>
      </c>
      <c r="D7" s="154">
        <f>E7*45</f>
        <v>625.5</v>
      </c>
      <c r="E7" s="241">
        <v>13.9</v>
      </c>
      <c r="F7" s="143">
        <v>4.5</v>
      </c>
      <c r="G7" s="143">
        <v>1.46</v>
      </c>
      <c r="H7" s="143">
        <v>19</v>
      </c>
      <c r="I7" s="143">
        <v>5.5</v>
      </c>
      <c r="J7" s="143">
        <v>0.78</v>
      </c>
      <c r="K7" s="157">
        <f t="shared" ref="K7:K12" si="0">(F7-G7)*1*((H7-G$5-H$5)-I7)*L$5/J7/1000</f>
        <v>147.32307692307691</v>
      </c>
      <c r="L7" s="157">
        <f t="shared" ref="L7:L12" si="1">E7*K7</f>
        <v>2047.7907692307692</v>
      </c>
      <c r="O7" s="154">
        <v>353.1</v>
      </c>
    </row>
    <row r="8" spans="2:15" x14ac:dyDescent="0.25">
      <c r="B8" s="154">
        <v>2</v>
      </c>
      <c r="C8" s="241">
        <f>8000+83894.93</f>
        <v>91894.93</v>
      </c>
      <c r="D8" s="154">
        <f>E8*45</f>
        <v>9537.75</v>
      </c>
      <c r="E8" s="241">
        <f>14+197.95</f>
        <v>211.95</v>
      </c>
      <c r="F8" s="143">
        <v>4.5</v>
      </c>
      <c r="G8" s="143">
        <v>1.46</v>
      </c>
      <c r="H8" s="143">
        <v>19</v>
      </c>
      <c r="I8" s="143">
        <v>5.5</v>
      </c>
      <c r="J8" s="143">
        <v>0.78</v>
      </c>
      <c r="K8" s="157">
        <f t="shared" si="0"/>
        <v>147.32307692307691</v>
      </c>
      <c r="L8" s="157">
        <f t="shared" si="1"/>
        <v>31225.126153846151</v>
      </c>
      <c r="O8" s="154">
        <v>327.2</v>
      </c>
    </row>
    <row r="9" spans="2:15" x14ac:dyDescent="0.25">
      <c r="B9" s="154">
        <v>3</v>
      </c>
      <c r="C9" s="241">
        <f>13000+12700+112751.81</f>
        <v>138451.81</v>
      </c>
      <c r="D9" s="154">
        <f>E9*45</f>
        <v>13636.800000000001</v>
      </c>
      <c r="E9" s="241">
        <f>39+23.6+240.44</f>
        <v>303.04000000000002</v>
      </c>
      <c r="F9" s="143">
        <v>4.5</v>
      </c>
      <c r="G9" s="143">
        <v>1.46</v>
      </c>
      <c r="H9" s="143">
        <v>19</v>
      </c>
      <c r="I9" s="143">
        <v>5.5</v>
      </c>
      <c r="J9" s="143">
        <v>0.78</v>
      </c>
      <c r="K9" s="157">
        <f t="shared" si="0"/>
        <v>147.32307692307691</v>
      </c>
      <c r="L9" s="157">
        <f t="shared" si="1"/>
        <v>44644.78523076923</v>
      </c>
      <c r="O9" s="154"/>
    </row>
    <row r="10" spans="2:15" x14ac:dyDescent="0.25">
      <c r="B10" s="154">
        <v>4</v>
      </c>
      <c r="C10" s="241">
        <f>54490.45+14014.52</f>
        <v>68504.97</v>
      </c>
      <c r="D10" s="154">
        <f>E10*45</f>
        <v>5015.2499999999991</v>
      </c>
      <c r="E10" s="241">
        <f>88.46+22.99</f>
        <v>111.44999999999999</v>
      </c>
      <c r="F10" s="143">
        <v>4.5</v>
      </c>
      <c r="G10" s="143">
        <v>1.46</v>
      </c>
      <c r="H10" s="143">
        <v>19</v>
      </c>
      <c r="I10" s="143">
        <v>5.5</v>
      </c>
      <c r="J10" s="143">
        <v>0.78</v>
      </c>
      <c r="K10" s="157">
        <f t="shared" si="0"/>
        <v>147.32307692307691</v>
      </c>
      <c r="L10" s="157">
        <f t="shared" si="1"/>
        <v>16419.15692307692</v>
      </c>
      <c r="O10" s="154"/>
    </row>
    <row r="11" spans="2:15" x14ac:dyDescent="0.25">
      <c r="B11" s="154">
        <v>5</v>
      </c>
      <c r="C11" s="241">
        <f>57073.96+80263.88+2745.72</f>
        <v>140083.56</v>
      </c>
      <c r="D11" s="154">
        <f>E11*45</f>
        <v>10666.349999999999</v>
      </c>
      <c r="E11" s="241">
        <f>100.45+130.38+6.2</f>
        <v>237.02999999999997</v>
      </c>
      <c r="F11" s="143">
        <v>4.5</v>
      </c>
      <c r="G11" s="143">
        <v>1.46</v>
      </c>
      <c r="H11" s="143">
        <v>19</v>
      </c>
      <c r="I11" s="143">
        <v>5.5</v>
      </c>
      <c r="J11" s="143">
        <v>0.78</v>
      </c>
      <c r="K11" s="157">
        <f t="shared" si="0"/>
        <v>147.32307692307691</v>
      </c>
      <c r="L11" s="157">
        <f t="shared" si="1"/>
        <v>34919.988923076919</v>
      </c>
      <c r="O11" s="154">
        <v>400.4</v>
      </c>
    </row>
    <row r="12" spans="2:15" x14ac:dyDescent="0.25">
      <c r="B12" s="154">
        <v>6</v>
      </c>
      <c r="C12" s="154"/>
      <c r="D12" s="154"/>
      <c r="E12" s="143"/>
      <c r="F12" s="143">
        <v>4.5</v>
      </c>
      <c r="G12" s="143">
        <v>1.46</v>
      </c>
      <c r="H12" s="143">
        <v>19</v>
      </c>
      <c r="I12" s="143">
        <v>5.5</v>
      </c>
      <c r="J12" s="143">
        <v>0.78</v>
      </c>
      <c r="K12" s="157">
        <f t="shared" si="0"/>
        <v>147.32307692307691</v>
      </c>
      <c r="L12" s="157">
        <f t="shared" si="1"/>
        <v>0</v>
      </c>
      <c r="O12" s="154">
        <v>106.4</v>
      </c>
    </row>
    <row r="13" spans="2:15" x14ac:dyDescent="0.25">
      <c r="C13" s="37">
        <f>SUM(C7:C12)</f>
        <v>443584.59</v>
      </c>
      <c r="D13" s="37">
        <f>SUM(D7:D12)</f>
        <v>39481.65</v>
      </c>
      <c r="E13" s="37">
        <f>SUM(E7:E12)</f>
        <v>877.36999999999989</v>
      </c>
      <c r="F13" s="37"/>
      <c r="G13" s="37"/>
      <c r="H13" s="37"/>
      <c r="I13" s="37"/>
      <c r="J13" s="37"/>
      <c r="K13" s="37"/>
      <c r="L13" s="120">
        <f>SUM(L7:L12)</f>
        <v>129256.848</v>
      </c>
      <c r="M13" s="120">
        <f>SUM(M7:M12)</f>
        <v>0</v>
      </c>
      <c r="N13" s="120">
        <f>SUM(N7:N12)</f>
        <v>0</v>
      </c>
      <c r="O13" s="120">
        <f>SUM(O7:O12)</f>
        <v>1187.0999999999999</v>
      </c>
    </row>
    <row r="14" spans="2:15" x14ac:dyDescent="0.25">
      <c r="E14" s="37"/>
      <c r="F14" s="37"/>
      <c r="G14" s="37"/>
      <c r="H14" s="37"/>
      <c r="I14" s="37"/>
      <c r="J14" s="37"/>
      <c r="K14" s="37"/>
      <c r="L14" s="37"/>
    </row>
    <row r="16" spans="2:15" x14ac:dyDescent="0.25">
      <c r="B16" s="37" t="s">
        <v>352</v>
      </c>
    </row>
    <row r="17" spans="2:12" x14ac:dyDescent="0.25">
      <c r="B17" s="37" t="s">
        <v>353</v>
      </c>
    </row>
    <row r="18" spans="2:12" x14ac:dyDescent="0.25">
      <c r="B18" s="37" t="s">
        <v>354</v>
      </c>
    </row>
    <row r="19" spans="2:12" x14ac:dyDescent="0.25">
      <c r="B19" s="37" t="s">
        <v>355</v>
      </c>
    </row>
    <row r="20" spans="2:12" x14ac:dyDescent="0.25">
      <c r="B20" s="37" t="s">
        <v>356</v>
      </c>
    </row>
    <row r="21" spans="2:12" x14ac:dyDescent="0.25">
      <c r="B21" s="37" t="s">
        <v>357</v>
      </c>
    </row>
    <row r="22" spans="2:12" x14ac:dyDescent="0.25">
      <c r="B22" s="37" t="s">
        <v>358</v>
      </c>
    </row>
    <row r="23" spans="2:12" x14ac:dyDescent="0.25">
      <c r="B23" s="37" t="s">
        <v>359</v>
      </c>
      <c r="E23" s="37"/>
      <c r="F23" s="37"/>
      <c r="G23" s="37"/>
      <c r="H23" s="37"/>
      <c r="I23" s="37"/>
      <c r="J23" s="37"/>
      <c r="K23" s="37"/>
      <c r="L23" s="37"/>
    </row>
    <row r="24" spans="2:12" x14ac:dyDescent="0.25">
      <c r="B24" s="37" t="s">
        <v>360</v>
      </c>
      <c r="E24" s="37"/>
      <c r="F24" s="37"/>
      <c r="G24" s="37"/>
      <c r="H24" s="37"/>
      <c r="I24" s="37"/>
      <c r="J24" s="37"/>
      <c r="K24" s="37"/>
      <c r="L24" s="37"/>
    </row>
    <row r="25" spans="2:12" x14ac:dyDescent="0.25">
      <c r="B25" s="37" t="s">
        <v>361</v>
      </c>
      <c r="E25" s="37"/>
      <c r="F25" s="37"/>
      <c r="G25" s="37"/>
      <c r="H25" s="37"/>
      <c r="I25" s="37"/>
      <c r="J25" s="37"/>
      <c r="K25" s="37"/>
      <c r="L25" s="37"/>
    </row>
    <row r="27" spans="2:12" x14ac:dyDescent="0.25">
      <c r="B27" s="37" t="s">
        <v>362</v>
      </c>
      <c r="E27" s="37"/>
      <c r="F27" s="37"/>
      <c r="G27" s="37"/>
      <c r="H27" s="37"/>
      <c r="I27" s="37"/>
      <c r="J27" s="37"/>
      <c r="K27" s="37"/>
      <c r="L27" s="37"/>
    </row>
    <row r="29" spans="2:12" x14ac:dyDescent="0.25">
      <c r="B29" s="37" t="s">
        <v>363</v>
      </c>
      <c r="E29" s="37"/>
      <c r="F29" s="37"/>
      <c r="G29" s="37"/>
      <c r="H29" s="37"/>
      <c r="I29" s="37"/>
      <c r="J29" s="37"/>
      <c r="K29" s="37"/>
      <c r="L29" s="37"/>
    </row>
    <row r="31" spans="2:12" x14ac:dyDescent="0.25">
      <c r="B31" s="37" t="s">
        <v>364</v>
      </c>
      <c r="E31" s="37"/>
      <c r="F31" s="37"/>
      <c r="G31" s="37"/>
      <c r="H31" s="37"/>
      <c r="I31" s="37"/>
      <c r="J31" s="37"/>
      <c r="K31" s="37"/>
      <c r="L31" s="37"/>
    </row>
    <row r="33" spans="2:12" x14ac:dyDescent="0.25">
      <c r="B33" s="37" t="s">
        <v>332</v>
      </c>
      <c r="E33" s="37"/>
      <c r="F33" s="37"/>
      <c r="G33" s="37"/>
      <c r="H33" s="37"/>
      <c r="I33" s="37"/>
      <c r="J33" s="37"/>
      <c r="K33" s="37"/>
      <c r="L33" s="37"/>
    </row>
    <row r="34" spans="2:12" x14ac:dyDescent="0.25">
      <c r="B34" s="37" t="s">
        <v>365</v>
      </c>
      <c r="E34" s="37"/>
      <c r="F34" s="37"/>
      <c r="G34" s="37"/>
      <c r="H34" s="37"/>
      <c r="I34" s="37"/>
      <c r="J34" s="37"/>
      <c r="K34" s="37"/>
      <c r="L34" s="37"/>
    </row>
    <row r="36" spans="2:12" x14ac:dyDescent="0.25">
      <c r="B36" s="37" t="s">
        <v>366</v>
      </c>
      <c r="E36" s="37"/>
      <c r="F36" s="37"/>
      <c r="G36" s="37"/>
      <c r="H36" s="37"/>
      <c r="I36" s="37"/>
      <c r="J36" s="37"/>
      <c r="K36" s="37"/>
      <c r="L36" s="37"/>
    </row>
    <row r="37" spans="2:12" x14ac:dyDescent="0.25">
      <c r="B37" s="37" t="s">
        <v>367</v>
      </c>
      <c r="E37" s="37"/>
      <c r="F37" s="37"/>
      <c r="G37" s="37"/>
      <c r="H37" s="37"/>
      <c r="I37" s="37"/>
      <c r="J37" s="37"/>
      <c r="K37" s="37"/>
      <c r="L37" s="37"/>
    </row>
    <row r="38" spans="2:12" x14ac:dyDescent="0.25">
      <c r="B38" s="37" t="s">
        <v>368</v>
      </c>
      <c r="E38" s="37"/>
      <c r="F38" s="37"/>
      <c r="G38" s="37"/>
      <c r="H38" s="37"/>
      <c r="I38" s="37"/>
      <c r="J38" s="37"/>
      <c r="K38" s="37"/>
      <c r="L38" s="37"/>
    </row>
    <row r="39" spans="2:12" x14ac:dyDescent="0.25">
      <c r="B39" s="37" t="s">
        <v>369</v>
      </c>
      <c r="E39" s="37"/>
      <c r="F39" s="37"/>
      <c r="G39" s="37"/>
      <c r="H39" s="37"/>
      <c r="I39" s="37"/>
      <c r="J39" s="37"/>
      <c r="K39" s="37"/>
      <c r="L39" s="37"/>
    </row>
    <row r="40" spans="2:12" x14ac:dyDescent="0.25">
      <c r="B40" s="37" t="s">
        <v>370</v>
      </c>
      <c r="E40" s="37"/>
      <c r="F40" s="37"/>
      <c r="G40" s="37"/>
      <c r="H40" s="37"/>
      <c r="I40" s="37"/>
      <c r="J40" s="37"/>
      <c r="K40" s="37"/>
      <c r="L40" s="37"/>
    </row>
    <row r="42" spans="2:12" x14ac:dyDescent="0.25">
      <c r="B42" s="37" t="s">
        <v>371</v>
      </c>
      <c r="E42" s="37"/>
      <c r="F42" s="37"/>
      <c r="G42" s="37"/>
      <c r="H42" s="37"/>
      <c r="I42" s="37"/>
      <c r="J42" s="37"/>
      <c r="K42" s="37"/>
      <c r="L42" s="37"/>
    </row>
  </sheetData>
  <mergeCells count="2">
    <mergeCell ref="B3:H3"/>
    <mergeCell ref="I3:L3"/>
  </mergeCells>
  <pageMargins left="0.7" right="0.7" top="0.75" bottom="0.75" header="0.3" footer="0.3"/>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92"/>
  <sheetViews>
    <sheetView topLeftCell="A13" workbookViewId="0">
      <selection activeCell="G40" sqref="G40"/>
    </sheetView>
  </sheetViews>
  <sheetFormatPr baseColWidth="10" defaultRowHeight="15" x14ac:dyDescent="0.25"/>
  <cols>
    <col min="1" max="1" width="11.42578125" style="37"/>
    <col min="2" max="2" width="10.7109375" style="37" customWidth="1"/>
    <col min="3" max="14" width="11.42578125" style="375"/>
    <col min="15" max="16384" width="11.42578125" style="37"/>
  </cols>
  <sheetData>
    <row r="1" spans="1:26" x14ac:dyDescent="0.25">
      <c r="B1" s="37" t="s">
        <v>83</v>
      </c>
      <c r="L1" s="375" t="s">
        <v>332</v>
      </c>
    </row>
    <row r="2" spans="1:26" x14ac:dyDescent="0.25">
      <c r="B2" s="37" t="s">
        <v>333</v>
      </c>
      <c r="L2" s="375" t="s">
        <v>334</v>
      </c>
    </row>
    <row r="3" spans="1:26" ht="18" customHeight="1" x14ac:dyDescent="0.3">
      <c r="B3" s="1005" t="s">
        <v>377</v>
      </c>
      <c r="C3" s="1002"/>
      <c r="D3" s="1002"/>
      <c r="E3" s="1002"/>
      <c r="F3" s="1002"/>
      <c r="G3" s="1002"/>
      <c r="H3" s="1002"/>
      <c r="I3" s="1002"/>
      <c r="J3" s="376"/>
      <c r="K3" s="376"/>
      <c r="L3" s="166"/>
      <c r="M3" s="166"/>
      <c r="N3" s="167"/>
    </row>
    <row r="4" spans="1:26" ht="18" customHeight="1" x14ac:dyDescent="0.3">
      <c r="B4" s="377"/>
      <c r="C4" s="376"/>
      <c r="D4" s="376"/>
      <c r="E4" s="376"/>
      <c r="F4" s="376"/>
      <c r="G4" s="376"/>
      <c r="H4" s="376"/>
      <c r="I4" s="376"/>
      <c r="J4" s="376"/>
      <c r="K4" s="376"/>
      <c r="L4" s="166"/>
      <c r="M4" s="166"/>
      <c r="N4" s="167"/>
    </row>
    <row r="5" spans="1:26" ht="28.5" customHeight="1" x14ac:dyDescent="0.25">
      <c r="B5" s="1006" t="s">
        <v>378</v>
      </c>
      <c r="C5" s="1007"/>
      <c r="D5" s="1006" t="s">
        <v>379</v>
      </c>
      <c r="E5" s="1007"/>
      <c r="F5" s="1008" t="s">
        <v>380</v>
      </c>
      <c r="G5" s="1009"/>
      <c r="H5" s="1008" t="s">
        <v>381</v>
      </c>
      <c r="I5" s="1009"/>
      <c r="J5" s="378" t="s">
        <v>382</v>
      </c>
      <c r="K5" s="378" t="s">
        <v>383</v>
      </c>
      <c r="L5" s="143" t="s">
        <v>338</v>
      </c>
      <c r="M5" s="155" t="s">
        <v>339</v>
      </c>
      <c r="N5" s="154"/>
      <c r="O5" s="2"/>
      <c r="P5" s="383" t="s">
        <v>773</v>
      </c>
      <c r="Q5" s="384" t="s">
        <v>373</v>
      </c>
      <c r="R5" s="384" t="s">
        <v>774</v>
      </c>
      <c r="S5" s="384" t="s">
        <v>775</v>
      </c>
      <c r="T5" s="384" t="s">
        <v>604</v>
      </c>
      <c r="U5" s="2"/>
      <c r="V5" s="2"/>
      <c r="W5" s="2"/>
      <c r="X5" s="2"/>
      <c r="Y5" s="2"/>
      <c r="Z5" s="2"/>
    </row>
    <row r="6" spans="1:26" x14ac:dyDescent="0.25">
      <c r="B6" s="143" t="s">
        <v>384</v>
      </c>
      <c r="C6" s="154" t="s">
        <v>155</v>
      </c>
      <c r="D6" s="158" t="s">
        <v>384</v>
      </c>
      <c r="E6" s="154" t="s">
        <v>155</v>
      </c>
      <c r="F6" s="158" t="s">
        <v>384</v>
      </c>
      <c r="G6" s="154" t="s">
        <v>155</v>
      </c>
      <c r="H6" s="158" t="s">
        <v>344</v>
      </c>
      <c r="I6" s="154" t="s">
        <v>155</v>
      </c>
      <c r="J6" s="154"/>
      <c r="K6" s="154"/>
      <c r="L6" s="154"/>
      <c r="M6" s="158" t="s">
        <v>343</v>
      </c>
      <c r="N6" s="158"/>
      <c r="O6" s="2"/>
      <c r="P6" s="383" t="s">
        <v>776</v>
      </c>
      <c r="Q6" s="383">
        <v>210</v>
      </c>
      <c r="R6" s="383">
        <v>5</v>
      </c>
      <c r="S6" s="383">
        <v>0.85</v>
      </c>
      <c r="T6" s="384">
        <v>1</v>
      </c>
      <c r="U6" s="2"/>
      <c r="V6" s="2"/>
      <c r="W6" s="2"/>
      <c r="X6" s="2"/>
      <c r="Y6" s="2"/>
    </row>
    <row r="7" spans="1:26" x14ac:dyDescent="0.25">
      <c r="A7" s="37">
        <v>1</v>
      </c>
      <c r="B7" s="168">
        <v>30</v>
      </c>
      <c r="C7" s="154">
        <f>B7*Q$6*R$6*S$6*T$6</f>
        <v>26775</v>
      </c>
      <c r="D7" s="154"/>
      <c r="E7" s="154"/>
      <c r="F7" s="154"/>
      <c r="G7" s="154"/>
      <c r="H7" s="154"/>
      <c r="I7" s="154"/>
      <c r="J7" s="154"/>
      <c r="K7" s="154"/>
      <c r="L7" s="143">
        <v>10000</v>
      </c>
      <c r="M7" s="143">
        <v>1750</v>
      </c>
      <c r="N7" s="143"/>
      <c r="O7" s="2"/>
      <c r="P7" s="383" t="s">
        <v>380</v>
      </c>
      <c r="Q7" s="384">
        <v>190</v>
      </c>
      <c r="R7" s="385">
        <v>1.3480000000000001</v>
      </c>
      <c r="S7" s="383">
        <v>0.89</v>
      </c>
      <c r="T7" s="384">
        <v>3.5</v>
      </c>
      <c r="U7" s="2"/>
      <c r="V7" s="2"/>
      <c r="W7" s="2"/>
      <c r="X7" s="2"/>
      <c r="Y7" s="2"/>
    </row>
    <row r="8" spans="1:26" x14ac:dyDescent="0.25">
      <c r="A8" s="37">
        <v>2</v>
      </c>
      <c r="B8" s="168">
        <v>30</v>
      </c>
      <c r="C8" s="154">
        <f t="shared" ref="C8:C12" si="0">B8*Q$6*R$6*S$6*T$6</f>
        <v>26775</v>
      </c>
      <c r="D8" s="154"/>
      <c r="E8" s="154"/>
      <c r="F8" s="154"/>
      <c r="G8" s="154"/>
      <c r="H8" s="154"/>
      <c r="I8" s="154"/>
      <c r="J8" s="154"/>
      <c r="K8" s="154"/>
      <c r="L8" s="143">
        <v>10000</v>
      </c>
      <c r="M8" s="143">
        <v>1750</v>
      </c>
      <c r="N8" s="143"/>
      <c r="O8" s="2"/>
      <c r="P8" s="2"/>
      <c r="S8" s="2"/>
      <c r="T8" s="2"/>
      <c r="U8" s="2"/>
      <c r="V8" s="2"/>
      <c r="W8" s="2"/>
      <c r="X8" s="2"/>
      <c r="Y8" s="2"/>
    </row>
    <row r="9" spans="1:26" x14ac:dyDescent="0.25">
      <c r="A9" s="37">
        <v>3</v>
      </c>
      <c r="B9" s="168">
        <v>30</v>
      </c>
      <c r="C9" s="154">
        <f t="shared" si="0"/>
        <v>26775</v>
      </c>
      <c r="D9" s="154"/>
      <c r="E9" s="154"/>
      <c r="F9" s="154"/>
      <c r="G9" s="154"/>
      <c r="H9" s="154"/>
      <c r="I9" s="154"/>
      <c r="J9" s="154"/>
      <c r="K9" s="154"/>
      <c r="L9" s="143">
        <v>10000</v>
      </c>
      <c r="M9" s="143">
        <v>1750</v>
      </c>
      <c r="N9" s="143"/>
      <c r="O9" s="2"/>
      <c r="P9" s="2"/>
      <c r="Q9" s="2"/>
      <c r="R9" s="2"/>
      <c r="S9" s="2"/>
      <c r="T9" s="2"/>
      <c r="U9" s="2"/>
      <c r="V9" s="2"/>
      <c r="W9" s="2"/>
      <c r="X9" s="2"/>
      <c r="Y9" s="2"/>
    </row>
    <row r="10" spans="1:26" x14ac:dyDescent="0.25">
      <c r="A10" s="37">
        <v>4</v>
      </c>
      <c r="B10" s="168">
        <v>30</v>
      </c>
      <c r="C10" s="154">
        <f t="shared" si="0"/>
        <v>26775</v>
      </c>
      <c r="D10" s="154"/>
      <c r="E10" s="154"/>
      <c r="F10" s="154"/>
      <c r="G10" s="154"/>
      <c r="H10" s="154"/>
      <c r="I10" s="154"/>
      <c r="J10" s="154"/>
      <c r="K10" s="154"/>
      <c r="L10" s="143">
        <v>10000</v>
      </c>
      <c r="M10" s="143">
        <v>1750</v>
      </c>
      <c r="N10" s="143"/>
      <c r="O10" s="2"/>
      <c r="P10" s="2"/>
      <c r="Q10" s="2"/>
      <c r="R10" s="2"/>
      <c r="S10" s="2"/>
      <c r="T10" s="2"/>
      <c r="U10" s="2"/>
      <c r="V10" s="2"/>
      <c r="W10" s="2"/>
      <c r="X10" s="2"/>
      <c r="Y10" s="2"/>
    </row>
    <row r="11" spans="1:26" x14ac:dyDescent="0.25">
      <c r="B11" s="168">
        <v>30</v>
      </c>
      <c r="C11" s="154">
        <f t="shared" si="0"/>
        <v>26775</v>
      </c>
      <c r="D11" s="154"/>
      <c r="E11" s="154"/>
      <c r="F11" s="154"/>
      <c r="G11" s="154"/>
      <c r="H11" s="154"/>
      <c r="I11" s="154"/>
      <c r="J11" s="154"/>
      <c r="K11" s="154"/>
      <c r="L11" s="143">
        <v>10000</v>
      </c>
      <c r="M11" s="143">
        <v>1750</v>
      </c>
      <c r="N11" s="143"/>
      <c r="O11" s="2"/>
      <c r="P11" s="2"/>
      <c r="Q11" s="2"/>
      <c r="R11" s="2"/>
      <c r="S11" s="2"/>
      <c r="T11" s="2"/>
      <c r="U11" s="2"/>
      <c r="V11" s="2"/>
      <c r="W11" s="2"/>
      <c r="X11" s="2"/>
      <c r="Y11" s="2"/>
    </row>
    <row r="12" spans="1:26" x14ac:dyDescent="0.25">
      <c r="B12" s="168">
        <v>30</v>
      </c>
      <c r="C12" s="154">
        <f t="shared" si="0"/>
        <v>26775</v>
      </c>
      <c r="D12" s="154"/>
      <c r="E12" s="154"/>
      <c r="F12" s="154"/>
      <c r="G12" s="154"/>
      <c r="H12" s="154"/>
      <c r="I12" s="154"/>
      <c r="J12" s="154"/>
      <c r="K12" s="154"/>
      <c r="L12" s="143">
        <v>10000</v>
      </c>
      <c r="M12" s="143">
        <v>1750</v>
      </c>
      <c r="N12" s="143"/>
      <c r="O12" s="2"/>
      <c r="P12" s="2"/>
      <c r="Q12" s="2"/>
      <c r="R12" s="2"/>
      <c r="S12" s="2"/>
      <c r="T12" s="2"/>
      <c r="U12" s="2"/>
      <c r="V12" s="2"/>
      <c r="W12" s="2"/>
      <c r="X12" s="2"/>
      <c r="Y12" s="2"/>
    </row>
    <row r="13" spans="1:26" x14ac:dyDescent="0.25">
      <c r="B13" s="143"/>
      <c r="C13" s="154"/>
      <c r="D13" s="154"/>
      <c r="E13" s="154"/>
      <c r="F13" s="154"/>
      <c r="G13" s="154"/>
      <c r="H13" s="154"/>
      <c r="I13" s="154"/>
      <c r="J13" s="154"/>
      <c r="K13" s="154"/>
      <c r="L13" s="143"/>
      <c r="M13" s="143"/>
      <c r="N13" s="143"/>
      <c r="O13" s="2"/>
      <c r="P13" s="2"/>
      <c r="Q13" s="2"/>
      <c r="R13" s="2"/>
      <c r="S13" s="2"/>
      <c r="T13" s="2"/>
      <c r="U13" s="2"/>
      <c r="V13" s="2"/>
      <c r="W13" s="2"/>
      <c r="X13" s="2"/>
      <c r="Y13" s="2"/>
    </row>
    <row r="14" spans="1:26" x14ac:dyDescent="0.25">
      <c r="B14" s="143"/>
      <c r="C14" s="154"/>
      <c r="D14" s="154"/>
      <c r="E14" s="154"/>
      <c r="F14" s="154">
        <v>8</v>
      </c>
      <c r="G14" s="159">
        <f>F14*Q$7*R$7*S$7*T$7</f>
        <v>6382.5104000000001</v>
      </c>
      <c r="H14" s="154"/>
      <c r="I14" s="154"/>
      <c r="J14" s="154"/>
      <c r="K14" s="154"/>
      <c r="L14" s="143">
        <v>6500</v>
      </c>
      <c r="M14" s="143">
        <v>1500</v>
      </c>
      <c r="N14" s="143"/>
      <c r="O14" s="2"/>
      <c r="P14" s="2"/>
      <c r="Q14" s="2"/>
      <c r="R14" s="2"/>
      <c r="S14" s="2"/>
      <c r="T14" s="2"/>
      <c r="U14" s="2"/>
      <c r="V14" s="2"/>
      <c r="W14" s="2"/>
      <c r="X14" s="2"/>
      <c r="Y14" s="2"/>
    </row>
    <row r="15" spans="1:26" x14ac:dyDescent="0.25">
      <c r="A15" s="37">
        <v>5</v>
      </c>
      <c r="B15" s="143"/>
      <c r="C15" s="154"/>
      <c r="D15" s="154"/>
      <c r="E15" s="154">
        <f>D15*Q7*R7*S7*T7</f>
        <v>0</v>
      </c>
      <c r="F15" s="154">
        <v>8</v>
      </c>
      <c r="G15" s="159">
        <f t="shared" ref="G15:G19" si="1">F15*Q$7*R$7*S$7*T$7</f>
        <v>6382.5104000000001</v>
      </c>
      <c r="H15" s="154"/>
      <c r="I15" s="154"/>
      <c r="J15" s="154"/>
      <c r="K15" s="154"/>
      <c r="L15" s="143">
        <v>6500</v>
      </c>
      <c r="M15" s="143">
        <v>1500</v>
      </c>
      <c r="N15" s="143"/>
      <c r="O15" s="2"/>
      <c r="P15" s="2"/>
      <c r="Q15" s="2"/>
      <c r="R15" s="2"/>
      <c r="S15" s="2"/>
      <c r="T15" s="2"/>
      <c r="U15" s="2"/>
      <c r="V15" s="2"/>
      <c r="W15" s="2"/>
      <c r="X15" s="2"/>
      <c r="Y15" s="2"/>
    </row>
    <row r="16" spans="1:26" x14ac:dyDescent="0.25">
      <c r="A16" s="37">
        <v>6</v>
      </c>
      <c r="B16" s="143"/>
      <c r="C16" s="154"/>
      <c r="D16" s="154"/>
      <c r="E16" s="154"/>
      <c r="F16" s="154">
        <v>8</v>
      </c>
      <c r="G16" s="159">
        <f t="shared" si="1"/>
        <v>6382.5104000000001</v>
      </c>
      <c r="H16" s="154"/>
      <c r="I16" s="154"/>
      <c r="J16" s="154"/>
      <c r="K16" s="154"/>
      <c r="L16" s="143">
        <v>6500</v>
      </c>
      <c r="M16" s="143">
        <v>1500</v>
      </c>
      <c r="N16" s="143"/>
      <c r="O16" s="2"/>
      <c r="P16" s="2"/>
      <c r="Q16" s="2"/>
      <c r="R16" s="2"/>
      <c r="S16" s="2"/>
      <c r="T16" s="2"/>
      <c r="U16" s="2"/>
      <c r="V16" s="2"/>
      <c r="W16" s="2"/>
      <c r="X16" s="2"/>
      <c r="Y16" s="2"/>
    </row>
    <row r="17" spans="1:25" x14ac:dyDescent="0.25">
      <c r="A17" s="37">
        <v>7</v>
      </c>
      <c r="B17" s="143"/>
      <c r="C17" s="154"/>
      <c r="D17" s="154"/>
      <c r="E17" s="154"/>
      <c r="F17" s="154">
        <v>8</v>
      </c>
      <c r="G17" s="159">
        <f t="shared" si="1"/>
        <v>6382.5104000000001</v>
      </c>
      <c r="H17" s="154"/>
      <c r="I17" s="154"/>
      <c r="J17" s="154"/>
      <c r="K17" s="154"/>
      <c r="L17" s="143">
        <v>6500</v>
      </c>
      <c r="M17" s="143">
        <v>1500</v>
      </c>
      <c r="N17" s="143"/>
      <c r="O17" s="2"/>
      <c r="P17" s="2"/>
      <c r="Q17" s="2"/>
      <c r="R17" s="2"/>
      <c r="S17" s="2"/>
      <c r="T17" s="2"/>
      <c r="U17" s="2"/>
      <c r="V17" s="2"/>
      <c r="W17" s="2"/>
      <c r="X17" s="2"/>
      <c r="Y17" s="2"/>
    </row>
    <row r="18" spans="1:25" x14ac:dyDescent="0.25">
      <c r="A18" s="37">
        <v>8</v>
      </c>
      <c r="B18" s="143"/>
      <c r="C18" s="154"/>
      <c r="D18" s="154"/>
      <c r="E18" s="154"/>
      <c r="F18" s="154">
        <v>8</v>
      </c>
      <c r="G18" s="159">
        <f t="shared" si="1"/>
        <v>6382.5104000000001</v>
      </c>
      <c r="H18" s="154"/>
      <c r="I18" s="154"/>
      <c r="J18" s="154"/>
      <c r="K18" s="154"/>
      <c r="L18" s="143">
        <v>6500</v>
      </c>
      <c r="M18" s="143">
        <v>1500</v>
      </c>
      <c r="N18" s="143"/>
      <c r="O18" s="2"/>
      <c r="P18" s="2"/>
      <c r="Q18" s="2"/>
      <c r="R18" s="2"/>
      <c r="S18" s="2"/>
      <c r="T18" s="2"/>
      <c r="U18" s="2"/>
      <c r="V18" s="2"/>
      <c r="W18" s="2"/>
      <c r="X18" s="2"/>
      <c r="Y18" s="2"/>
    </row>
    <row r="19" spans="1:25" x14ac:dyDescent="0.25">
      <c r="A19" s="37">
        <v>9</v>
      </c>
      <c r="B19" s="143"/>
      <c r="C19" s="154"/>
      <c r="D19" s="154"/>
      <c r="E19" s="154"/>
      <c r="F19" s="154">
        <v>8</v>
      </c>
      <c r="G19" s="159">
        <f t="shared" si="1"/>
        <v>6382.5104000000001</v>
      </c>
      <c r="H19" s="154"/>
      <c r="I19" s="154"/>
      <c r="J19" s="154"/>
      <c r="K19" s="154"/>
      <c r="L19" s="143">
        <v>6500</v>
      </c>
      <c r="M19" s="143">
        <v>1500</v>
      </c>
      <c r="N19" s="143"/>
      <c r="O19" s="2"/>
      <c r="P19" s="2"/>
      <c r="Q19" s="2"/>
      <c r="R19" s="2"/>
      <c r="S19" s="2"/>
      <c r="T19" s="2"/>
      <c r="U19" s="2"/>
      <c r="V19" s="2"/>
      <c r="W19" s="2"/>
      <c r="X19" s="2"/>
      <c r="Y19" s="2"/>
    </row>
    <row r="20" spans="1:25" x14ac:dyDescent="0.25">
      <c r="A20" s="37">
        <v>10</v>
      </c>
      <c r="B20" s="143"/>
      <c r="C20" s="154"/>
      <c r="D20" s="154"/>
      <c r="E20" s="154"/>
      <c r="F20" s="170">
        <v>12</v>
      </c>
      <c r="G20" s="159">
        <f>F20*Q$7*R$7*S$7*T$7</f>
        <v>9573.7656000000006</v>
      </c>
      <c r="H20" s="154"/>
      <c r="I20" s="154"/>
      <c r="J20" s="154"/>
      <c r="K20" s="154"/>
      <c r="L20" s="143">
        <v>10000</v>
      </c>
      <c r="M20" s="143">
        <v>2250</v>
      </c>
      <c r="N20" s="143"/>
      <c r="O20" s="2"/>
      <c r="P20" s="2"/>
      <c r="Q20" s="2"/>
      <c r="R20" s="2"/>
      <c r="S20" s="2"/>
      <c r="T20" s="2"/>
      <c r="U20" s="2"/>
      <c r="V20" s="2"/>
      <c r="W20" s="2"/>
      <c r="X20" s="2"/>
      <c r="Y20" s="2"/>
    </row>
    <row r="21" spans="1:25" x14ac:dyDescent="0.25">
      <c r="A21" s="37">
        <v>11</v>
      </c>
      <c r="B21" s="143"/>
      <c r="C21" s="154"/>
      <c r="D21" s="154"/>
      <c r="E21" s="154"/>
      <c r="F21" s="170">
        <v>12</v>
      </c>
      <c r="G21" s="159">
        <f t="shared" ref="G21:G23" si="2">F21*Q$7*R$7*S$7*T$7</f>
        <v>9573.7656000000006</v>
      </c>
      <c r="H21" s="154"/>
      <c r="I21" s="154"/>
      <c r="J21" s="154"/>
      <c r="K21" s="154"/>
      <c r="L21" s="143">
        <v>10000</v>
      </c>
      <c r="M21" s="143">
        <v>2250</v>
      </c>
      <c r="N21" s="143"/>
      <c r="O21" s="2"/>
      <c r="P21" s="2"/>
      <c r="Q21" s="2"/>
      <c r="R21" s="2"/>
      <c r="S21" s="2"/>
      <c r="T21" s="2"/>
      <c r="U21" s="2"/>
      <c r="V21" s="2"/>
      <c r="W21" s="2"/>
      <c r="X21" s="2"/>
      <c r="Y21" s="2"/>
    </row>
    <row r="22" spans="1:25" x14ac:dyDescent="0.25">
      <c r="A22" s="37">
        <v>12</v>
      </c>
      <c r="B22" s="143"/>
      <c r="C22" s="154"/>
      <c r="D22" s="154"/>
      <c r="E22" s="154"/>
      <c r="F22" s="170">
        <v>12</v>
      </c>
      <c r="G22" s="159">
        <f t="shared" si="2"/>
        <v>9573.7656000000006</v>
      </c>
      <c r="H22" s="154"/>
      <c r="I22" s="154"/>
      <c r="J22" s="154"/>
      <c r="K22" s="154"/>
      <c r="L22" s="143">
        <v>10000</v>
      </c>
      <c r="M22" s="143">
        <v>2250</v>
      </c>
      <c r="N22" s="143"/>
      <c r="O22" s="2"/>
      <c r="P22" s="2"/>
      <c r="Q22" s="2"/>
      <c r="R22" s="2"/>
      <c r="S22" s="2"/>
      <c r="T22" s="2"/>
      <c r="U22" s="2"/>
      <c r="V22" s="2"/>
      <c r="W22" s="2"/>
      <c r="X22" s="2"/>
      <c r="Y22" s="2"/>
    </row>
    <row r="23" spans="1:25" x14ac:dyDescent="0.25">
      <c r="A23" s="37">
        <v>13</v>
      </c>
      <c r="B23" s="143"/>
      <c r="C23" s="154"/>
      <c r="D23" s="154"/>
      <c r="E23" s="154"/>
      <c r="F23" s="170">
        <v>12</v>
      </c>
      <c r="G23" s="159">
        <f t="shared" si="2"/>
        <v>9573.7656000000006</v>
      </c>
      <c r="H23" s="154"/>
      <c r="I23" s="154"/>
      <c r="J23" s="154"/>
      <c r="K23" s="154"/>
      <c r="L23" s="143">
        <v>10000</v>
      </c>
      <c r="M23" s="143">
        <v>2250</v>
      </c>
      <c r="N23" s="143"/>
      <c r="O23" s="2"/>
      <c r="P23" s="2"/>
      <c r="Q23" s="2"/>
      <c r="R23" s="2"/>
      <c r="S23" s="2"/>
      <c r="T23" s="2"/>
      <c r="U23" s="2"/>
      <c r="V23" s="2"/>
      <c r="W23" s="2"/>
      <c r="X23" s="2"/>
      <c r="Y23" s="2"/>
    </row>
    <row r="24" spans="1:25" x14ac:dyDescent="0.25">
      <c r="A24" s="37">
        <v>14</v>
      </c>
      <c r="B24" s="143"/>
      <c r="C24" s="154"/>
      <c r="D24" s="154"/>
      <c r="E24" s="154"/>
      <c r="F24" s="154">
        <v>4.5</v>
      </c>
      <c r="G24" s="159">
        <f>F24*Q$7*R$7*S$7*T$7</f>
        <v>3590.1621000000005</v>
      </c>
      <c r="H24" s="154"/>
      <c r="I24" s="154"/>
      <c r="J24" s="154"/>
      <c r="K24" s="154"/>
      <c r="L24" s="143">
        <v>4500</v>
      </c>
      <c r="M24" s="143">
        <v>750</v>
      </c>
      <c r="N24" s="143"/>
      <c r="O24" s="2"/>
      <c r="P24" s="2"/>
      <c r="Q24" s="2"/>
      <c r="R24" s="2"/>
      <c r="S24" s="2"/>
      <c r="T24" s="2"/>
      <c r="U24" s="2"/>
      <c r="V24" s="2"/>
      <c r="W24" s="2"/>
      <c r="X24" s="2"/>
      <c r="Y24" s="2"/>
    </row>
    <row r="25" spans="1:25" x14ac:dyDescent="0.25">
      <c r="A25" s="37">
        <v>15</v>
      </c>
      <c r="B25" s="143"/>
      <c r="C25" s="154"/>
      <c r="D25" s="154"/>
      <c r="E25" s="154"/>
      <c r="F25" s="154">
        <v>4.5</v>
      </c>
      <c r="G25" s="159">
        <f t="shared" ref="G25:G40" si="3">F25*Q$7*R$7*S$7*T$7</f>
        <v>3590.1621000000005</v>
      </c>
      <c r="H25" s="154"/>
      <c r="I25" s="154"/>
      <c r="J25" s="154"/>
      <c r="K25" s="154"/>
      <c r="L25" s="143">
        <v>4500</v>
      </c>
      <c r="M25" s="143">
        <v>750</v>
      </c>
      <c r="N25" s="143"/>
      <c r="O25" s="2"/>
      <c r="P25" s="2"/>
      <c r="Q25" s="2"/>
      <c r="R25" s="2"/>
      <c r="S25" s="2"/>
      <c r="T25" s="2"/>
      <c r="U25" s="2"/>
      <c r="V25" s="2"/>
      <c r="W25" s="2"/>
      <c r="X25" s="2"/>
      <c r="Y25" s="2"/>
    </row>
    <row r="26" spans="1:25" x14ac:dyDescent="0.25">
      <c r="A26" s="37">
        <v>16</v>
      </c>
      <c r="B26" s="143"/>
      <c r="C26" s="154"/>
      <c r="D26" s="154"/>
      <c r="E26" s="154"/>
      <c r="F26" s="154">
        <v>4.5</v>
      </c>
      <c r="G26" s="159">
        <f t="shared" si="3"/>
        <v>3590.1621000000005</v>
      </c>
      <c r="H26" s="154"/>
      <c r="I26" s="154"/>
      <c r="J26" s="154"/>
      <c r="K26" s="154"/>
      <c r="L26" s="143">
        <v>4500</v>
      </c>
      <c r="M26" s="143">
        <v>750</v>
      </c>
      <c r="N26" s="143"/>
      <c r="O26" s="2"/>
      <c r="P26" s="2"/>
      <c r="Q26" s="2"/>
      <c r="R26" s="2"/>
      <c r="S26" s="2"/>
      <c r="T26" s="2"/>
      <c r="U26" s="2"/>
      <c r="V26" s="2"/>
      <c r="W26" s="2"/>
      <c r="X26" s="2"/>
      <c r="Y26" s="2"/>
    </row>
    <row r="27" spans="1:25" x14ac:dyDescent="0.25">
      <c r="A27" s="37">
        <v>17</v>
      </c>
      <c r="B27" s="143"/>
      <c r="C27" s="154"/>
      <c r="D27" s="154"/>
      <c r="E27" s="154"/>
      <c r="F27" s="154">
        <v>4.5</v>
      </c>
      <c r="G27" s="159">
        <f t="shared" si="3"/>
        <v>3590.1621000000005</v>
      </c>
      <c r="H27" s="154"/>
      <c r="I27" s="154"/>
      <c r="J27" s="154"/>
      <c r="K27" s="154"/>
      <c r="L27" s="143">
        <v>4500</v>
      </c>
      <c r="M27" s="143">
        <v>750</v>
      </c>
      <c r="N27" s="143"/>
      <c r="O27" s="2"/>
      <c r="P27" s="2"/>
      <c r="Q27" s="2"/>
      <c r="R27" s="2"/>
      <c r="S27" s="2"/>
      <c r="T27" s="2"/>
      <c r="U27" s="2"/>
      <c r="V27" s="2"/>
      <c r="W27" s="2"/>
      <c r="X27" s="2"/>
      <c r="Y27" s="2"/>
    </row>
    <row r="28" spans="1:25" x14ac:dyDescent="0.25">
      <c r="A28" s="37">
        <v>18</v>
      </c>
      <c r="B28" s="143"/>
      <c r="C28" s="154"/>
      <c r="D28" s="154"/>
      <c r="E28" s="154"/>
      <c r="F28" s="154">
        <v>4.5</v>
      </c>
      <c r="G28" s="159">
        <f t="shared" si="3"/>
        <v>3590.1621000000005</v>
      </c>
      <c r="H28" s="154"/>
      <c r="I28" s="154"/>
      <c r="J28" s="154"/>
      <c r="K28" s="154"/>
      <c r="L28" s="143">
        <v>4500</v>
      </c>
      <c r="M28" s="143">
        <v>750</v>
      </c>
      <c r="N28" s="143"/>
      <c r="O28" s="2"/>
      <c r="P28" s="2"/>
      <c r="Q28" s="2"/>
      <c r="R28" s="2"/>
      <c r="S28" s="2"/>
      <c r="T28" s="2"/>
      <c r="U28" s="2"/>
      <c r="V28" s="2"/>
      <c r="W28" s="2"/>
      <c r="X28" s="2"/>
      <c r="Y28" s="2"/>
    </row>
    <row r="29" spans="1:25" x14ac:dyDescent="0.25">
      <c r="A29" s="37">
        <v>19</v>
      </c>
      <c r="B29" s="143"/>
      <c r="C29" s="154"/>
      <c r="D29" s="154"/>
      <c r="E29" s="154"/>
      <c r="F29" s="154">
        <v>4.5</v>
      </c>
      <c r="G29" s="159">
        <f t="shared" si="3"/>
        <v>3590.1621000000005</v>
      </c>
      <c r="H29" s="154"/>
      <c r="I29" s="154"/>
      <c r="J29" s="154"/>
      <c r="K29" s="154"/>
      <c r="L29" s="143">
        <v>4500</v>
      </c>
      <c r="M29" s="143">
        <v>750</v>
      </c>
      <c r="N29" s="143"/>
    </row>
    <row r="30" spans="1:25" x14ac:dyDescent="0.25">
      <c r="A30" s="37">
        <v>20</v>
      </c>
      <c r="B30" s="143"/>
      <c r="C30" s="154"/>
      <c r="D30" s="154"/>
      <c r="E30" s="154"/>
      <c r="F30" s="154">
        <v>4.5</v>
      </c>
      <c r="G30" s="159">
        <f t="shared" si="3"/>
        <v>3590.1621000000005</v>
      </c>
      <c r="H30" s="154"/>
      <c r="I30" s="154"/>
      <c r="J30" s="154"/>
      <c r="K30" s="154"/>
      <c r="L30" s="143">
        <v>4500</v>
      </c>
      <c r="M30" s="143">
        <v>750</v>
      </c>
      <c r="N30" s="143"/>
    </row>
    <row r="31" spans="1:25" x14ac:dyDescent="0.25">
      <c r="A31" s="37">
        <v>21</v>
      </c>
      <c r="B31" s="143"/>
      <c r="C31" s="154"/>
      <c r="D31" s="154"/>
      <c r="E31" s="154"/>
      <c r="F31" s="154">
        <v>4.5</v>
      </c>
      <c r="G31" s="159">
        <f t="shared" si="3"/>
        <v>3590.1621000000005</v>
      </c>
      <c r="H31" s="154"/>
      <c r="I31" s="154">
        <f t="shared" ref="I31:I35" si="4">H31*437</f>
        <v>0</v>
      </c>
      <c r="J31" s="154"/>
      <c r="K31" s="154"/>
      <c r="L31" s="143">
        <v>4500</v>
      </c>
      <c r="M31" s="143">
        <v>750</v>
      </c>
      <c r="N31" s="143"/>
    </row>
    <row r="32" spans="1:25" x14ac:dyDescent="0.25">
      <c r="A32" s="37">
        <v>22</v>
      </c>
      <c r="B32" s="143"/>
      <c r="C32" s="154"/>
      <c r="D32" s="154"/>
      <c r="E32" s="154"/>
      <c r="F32" s="154">
        <v>4.5</v>
      </c>
      <c r="G32" s="159">
        <f t="shared" si="3"/>
        <v>3590.1621000000005</v>
      </c>
      <c r="H32" s="154"/>
      <c r="I32" s="154">
        <f t="shared" si="4"/>
        <v>0</v>
      </c>
      <c r="J32" s="154"/>
      <c r="K32" s="154"/>
      <c r="L32" s="143">
        <v>4500</v>
      </c>
      <c r="M32" s="143">
        <v>750</v>
      </c>
      <c r="N32" s="143"/>
    </row>
    <row r="33" spans="1:14" x14ac:dyDescent="0.25">
      <c r="A33" s="37">
        <v>23</v>
      </c>
      <c r="B33" s="143"/>
      <c r="C33" s="154"/>
      <c r="D33" s="154"/>
      <c r="E33" s="154"/>
      <c r="F33" s="154">
        <v>4.5</v>
      </c>
      <c r="G33" s="159">
        <f t="shared" si="3"/>
        <v>3590.1621000000005</v>
      </c>
      <c r="H33" s="154"/>
      <c r="I33" s="154">
        <f t="shared" si="4"/>
        <v>0</v>
      </c>
      <c r="J33" s="154"/>
      <c r="K33" s="154"/>
      <c r="L33" s="143">
        <v>4500</v>
      </c>
      <c r="M33" s="143">
        <v>750</v>
      </c>
      <c r="N33" s="143"/>
    </row>
    <row r="34" spans="1:14" x14ac:dyDescent="0.25">
      <c r="A34" s="37">
        <v>24</v>
      </c>
      <c r="B34" s="143"/>
      <c r="C34" s="154"/>
      <c r="D34" s="154"/>
      <c r="E34" s="154"/>
      <c r="F34" s="154">
        <v>4.5</v>
      </c>
      <c r="G34" s="159">
        <f t="shared" si="3"/>
        <v>3590.1621000000005</v>
      </c>
      <c r="H34" s="154"/>
      <c r="I34" s="154">
        <f t="shared" si="4"/>
        <v>0</v>
      </c>
      <c r="J34" s="154"/>
      <c r="K34" s="154"/>
      <c r="L34" s="143">
        <v>4500</v>
      </c>
      <c r="M34" s="143">
        <v>750</v>
      </c>
      <c r="N34" s="143"/>
    </row>
    <row r="35" spans="1:14" x14ac:dyDescent="0.25">
      <c r="A35" s="37">
        <v>25</v>
      </c>
      <c r="B35" s="143"/>
      <c r="C35" s="154"/>
      <c r="D35" s="154"/>
      <c r="E35" s="154"/>
      <c r="F35" s="154">
        <v>4.5</v>
      </c>
      <c r="G35" s="159">
        <f t="shared" si="3"/>
        <v>3590.1621000000005</v>
      </c>
      <c r="H35" s="154"/>
      <c r="I35" s="154">
        <f t="shared" si="4"/>
        <v>0</v>
      </c>
      <c r="J35" s="154"/>
      <c r="K35" s="154"/>
      <c r="L35" s="143">
        <v>4500</v>
      </c>
      <c r="M35" s="143">
        <v>750</v>
      </c>
      <c r="N35" s="143"/>
    </row>
    <row r="36" spans="1:14" x14ac:dyDescent="0.25">
      <c r="A36" s="37">
        <v>26</v>
      </c>
      <c r="B36" s="143"/>
      <c r="C36" s="154"/>
      <c r="D36" s="154"/>
      <c r="E36" s="154"/>
      <c r="F36" s="154">
        <v>4.5</v>
      </c>
      <c r="G36" s="159">
        <f t="shared" si="3"/>
        <v>3590.1621000000005</v>
      </c>
      <c r="H36" s="154"/>
      <c r="I36" s="154"/>
      <c r="J36" s="154"/>
      <c r="K36" s="154"/>
      <c r="L36" s="143">
        <v>4500</v>
      </c>
      <c r="M36" s="143">
        <v>750</v>
      </c>
      <c r="N36" s="143"/>
    </row>
    <row r="37" spans="1:14" x14ac:dyDescent="0.25">
      <c r="A37" s="37">
        <v>27</v>
      </c>
      <c r="B37" s="143"/>
      <c r="C37" s="154"/>
      <c r="D37" s="154"/>
      <c r="E37" s="154"/>
      <c r="F37" s="154">
        <v>4.5</v>
      </c>
      <c r="G37" s="159">
        <f t="shared" si="3"/>
        <v>3590.1621000000005</v>
      </c>
      <c r="H37" s="154"/>
      <c r="I37" s="154"/>
      <c r="J37" s="154"/>
      <c r="K37" s="154"/>
      <c r="L37" s="143">
        <v>4500</v>
      </c>
      <c r="M37" s="143">
        <v>750</v>
      </c>
      <c r="N37" s="143"/>
    </row>
    <row r="38" spans="1:14" x14ac:dyDescent="0.25">
      <c r="A38" s="37">
        <v>28</v>
      </c>
      <c r="B38" s="143"/>
      <c r="C38" s="154"/>
      <c r="D38" s="154"/>
      <c r="E38" s="154"/>
      <c r="F38" s="154">
        <v>4.5</v>
      </c>
      <c r="G38" s="159">
        <f t="shared" si="3"/>
        <v>3590.1621000000005</v>
      </c>
      <c r="H38" s="154"/>
      <c r="I38" s="154"/>
      <c r="J38" s="154"/>
      <c r="K38" s="154"/>
      <c r="L38" s="143">
        <v>4500</v>
      </c>
      <c r="M38" s="143">
        <v>750</v>
      </c>
      <c r="N38" s="143"/>
    </row>
    <row r="39" spans="1:14" x14ac:dyDescent="0.25">
      <c r="A39" s="37">
        <v>29</v>
      </c>
      <c r="B39" s="143"/>
      <c r="C39" s="154"/>
      <c r="D39" s="154"/>
      <c r="E39" s="154"/>
      <c r="F39" s="154">
        <v>4.5</v>
      </c>
      <c r="G39" s="159">
        <f t="shared" si="3"/>
        <v>3590.1621000000005</v>
      </c>
      <c r="H39" s="154"/>
      <c r="I39" s="154"/>
      <c r="J39" s="154"/>
      <c r="K39" s="154"/>
      <c r="L39" s="143">
        <v>4500</v>
      </c>
      <c r="M39" s="143">
        <v>750</v>
      </c>
      <c r="N39" s="143"/>
    </row>
    <row r="40" spans="1:14" x14ac:dyDescent="0.25">
      <c r="A40" s="37">
        <v>30</v>
      </c>
      <c r="B40" s="143"/>
      <c r="C40" s="154"/>
      <c r="D40" s="154"/>
      <c r="E40" s="154"/>
      <c r="F40" s="154">
        <v>4.5</v>
      </c>
      <c r="G40" s="159">
        <f t="shared" si="3"/>
        <v>3590.1621000000005</v>
      </c>
      <c r="H40" s="154"/>
      <c r="I40" s="154"/>
      <c r="J40" s="154"/>
      <c r="K40" s="154"/>
      <c r="L40" s="143">
        <v>4500</v>
      </c>
      <c r="M40" s="143">
        <v>750</v>
      </c>
      <c r="N40" s="143"/>
    </row>
    <row r="41" spans="1:14" x14ac:dyDescent="0.25">
      <c r="A41" s="37">
        <v>31</v>
      </c>
      <c r="B41" s="143"/>
      <c r="C41" s="154"/>
      <c r="D41" s="154"/>
      <c r="E41" s="154"/>
      <c r="F41" s="154"/>
      <c r="G41" s="159"/>
      <c r="H41" s="154"/>
      <c r="I41" s="154"/>
      <c r="J41" s="154"/>
      <c r="K41" s="154"/>
      <c r="L41" s="143"/>
      <c r="M41" s="143"/>
      <c r="N41" s="143"/>
    </row>
    <row r="42" spans="1:14" x14ac:dyDescent="0.25">
      <c r="A42" s="37">
        <v>32</v>
      </c>
      <c r="B42" s="143"/>
      <c r="C42" s="154"/>
      <c r="D42" s="154"/>
      <c r="E42" s="154"/>
      <c r="F42" s="154"/>
      <c r="G42" s="159"/>
      <c r="H42" s="154"/>
      <c r="I42" s="154"/>
      <c r="J42" s="154"/>
      <c r="K42" s="154"/>
      <c r="L42" s="143"/>
      <c r="M42" s="143"/>
      <c r="N42" s="143"/>
    </row>
    <row r="43" spans="1:14" x14ac:dyDescent="0.25">
      <c r="A43" s="37">
        <v>33</v>
      </c>
      <c r="B43" s="143"/>
      <c r="C43" s="154"/>
      <c r="D43" s="154"/>
      <c r="E43" s="154"/>
      <c r="F43" s="154"/>
      <c r="G43" s="159"/>
      <c r="H43" s="154"/>
      <c r="I43" s="154"/>
      <c r="J43" s="154"/>
      <c r="K43" s="154"/>
      <c r="L43" s="143"/>
      <c r="M43" s="143"/>
      <c r="N43" s="143"/>
    </row>
    <row r="44" spans="1:14" x14ac:dyDescent="0.25">
      <c r="A44" s="37">
        <v>34</v>
      </c>
      <c r="B44" s="143"/>
      <c r="C44" s="154"/>
      <c r="D44" s="154"/>
      <c r="E44" s="154"/>
      <c r="F44" s="154"/>
      <c r="G44" s="159"/>
      <c r="H44" s="154"/>
      <c r="I44" s="154"/>
      <c r="J44" s="154"/>
      <c r="K44" s="154"/>
      <c r="L44" s="143"/>
      <c r="M44" s="143"/>
      <c r="N44" s="143"/>
    </row>
    <row r="45" spans="1:14" x14ac:dyDescent="0.25">
      <c r="A45" s="37">
        <v>35</v>
      </c>
      <c r="B45" s="143"/>
      <c r="C45" s="154"/>
      <c r="D45" s="154"/>
      <c r="E45" s="154"/>
      <c r="F45" s="154"/>
      <c r="G45" s="159"/>
      <c r="H45" s="154"/>
      <c r="I45" s="154"/>
      <c r="J45" s="154"/>
      <c r="K45" s="154"/>
      <c r="L45" s="143"/>
      <c r="M45" s="143"/>
      <c r="N45" s="143"/>
    </row>
    <row r="46" spans="1:14" x14ac:dyDescent="0.25">
      <c r="A46" s="37">
        <v>36</v>
      </c>
      <c r="B46" s="143"/>
      <c r="C46" s="154"/>
      <c r="D46" s="154"/>
      <c r="E46" s="154"/>
      <c r="F46" s="154"/>
      <c r="G46" s="159"/>
      <c r="H46" s="154"/>
      <c r="I46" s="154"/>
      <c r="J46" s="154"/>
      <c r="K46" s="154"/>
      <c r="L46" s="143"/>
      <c r="M46" s="143"/>
      <c r="N46" s="143"/>
    </row>
    <row r="47" spans="1:14" x14ac:dyDescent="0.25">
      <c r="A47" s="37">
        <v>37</v>
      </c>
      <c r="B47" s="143"/>
      <c r="C47" s="154"/>
      <c r="D47" s="154"/>
      <c r="E47" s="154"/>
      <c r="F47" s="154"/>
      <c r="G47" s="159"/>
      <c r="H47" s="154"/>
      <c r="I47" s="154"/>
      <c r="J47" s="154"/>
      <c r="K47" s="154"/>
      <c r="L47" s="143"/>
      <c r="M47" s="143"/>
      <c r="N47" s="143"/>
    </row>
    <row r="48" spans="1:14" x14ac:dyDescent="0.25">
      <c r="A48" s="37">
        <v>38</v>
      </c>
      <c r="B48" s="154"/>
      <c r="C48" s="154"/>
      <c r="D48" s="154"/>
      <c r="E48" s="154"/>
      <c r="F48" s="154"/>
      <c r="G48" s="159"/>
      <c r="H48" s="154"/>
      <c r="I48" s="154"/>
      <c r="J48" s="154"/>
      <c r="K48" s="154"/>
      <c r="L48" s="143"/>
      <c r="M48" s="143"/>
      <c r="N48" s="143"/>
    </row>
    <row r="49" spans="1:26" x14ac:dyDescent="0.25">
      <c r="A49" s="37">
        <v>39</v>
      </c>
      <c r="B49" s="154"/>
      <c r="C49" s="154"/>
      <c r="D49" s="154"/>
      <c r="E49" s="154"/>
      <c r="F49" s="154"/>
      <c r="G49" s="159"/>
      <c r="H49" s="154"/>
      <c r="I49" s="154"/>
      <c r="J49" s="154"/>
      <c r="K49" s="154"/>
      <c r="L49" s="143"/>
      <c r="M49" s="143"/>
      <c r="N49" s="143"/>
    </row>
    <row r="50" spans="1:26" x14ac:dyDescent="0.25">
      <c r="A50" s="37">
        <v>40</v>
      </c>
      <c r="B50" s="154"/>
      <c r="C50" s="154"/>
      <c r="D50" s="154"/>
      <c r="E50" s="154"/>
      <c r="F50" s="154"/>
      <c r="G50" s="159"/>
      <c r="H50" s="154"/>
      <c r="I50" s="154"/>
      <c r="J50" s="154"/>
      <c r="K50" s="154"/>
      <c r="L50" s="143"/>
      <c r="M50" s="143"/>
      <c r="N50" s="143"/>
    </row>
    <row r="51" spans="1:26" x14ac:dyDescent="0.25">
      <c r="A51" s="37">
        <v>41</v>
      </c>
      <c r="B51" s="154"/>
      <c r="C51" s="154"/>
      <c r="D51" s="154"/>
      <c r="E51" s="154"/>
      <c r="F51" s="154"/>
      <c r="G51" s="159"/>
      <c r="H51" s="154"/>
      <c r="I51" s="154"/>
      <c r="J51" s="154"/>
      <c r="K51" s="154"/>
      <c r="L51" s="143"/>
      <c r="M51" s="143"/>
      <c r="N51" s="143"/>
    </row>
    <row r="52" spans="1:26" x14ac:dyDescent="0.25">
      <c r="A52" s="37">
        <v>42</v>
      </c>
      <c r="B52" s="154"/>
      <c r="C52" s="154"/>
      <c r="D52" s="154"/>
      <c r="E52" s="154"/>
      <c r="F52" s="154"/>
      <c r="G52" s="159"/>
      <c r="H52" s="154"/>
      <c r="I52" s="154"/>
      <c r="J52" s="154"/>
      <c r="K52" s="154"/>
      <c r="L52" s="143"/>
      <c r="M52" s="143"/>
      <c r="N52" s="143"/>
    </row>
    <row r="53" spans="1:26" x14ac:dyDescent="0.25">
      <c r="A53" s="37">
        <v>43</v>
      </c>
      <c r="B53" s="154"/>
      <c r="C53" s="154"/>
      <c r="D53" s="154"/>
      <c r="E53" s="154"/>
      <c r="F53" s="154"/>
      <c r="G53" s="159"/>
      <c r="H53" s="154"/>
      <c r="I53" s="154"/>
      <c r="J53" s="154"/>
      <c r="K53" s="154"/>
      <c r="L53" s="143"/>
      <c r="M53" s="143"/>
      <c r="N53" s="143"/>
    </row>
    <row r="54" spans="1:26" x14ac:dyDescent="0.25">
      <c r="A54" s="37">
        <v>44</v>
      </c>
      <c r="B54" s="154"/>
      <c r="C54" s="154"/>
      <c r="D54" s="154"/>
      <c r="E54" s="154"/>
      <c r="F54" s="154"/>
      <c r="G54" s="159"/>
      <c r="H54" s="154"/>
      <c r="I54" s="154"/>
      <c r="J54" s="154"/>
      <c r="K54" s="154"/>
      <c r="L54" s="143"/>
      <c r="M54" s="143"/>
      <c r="N54" s="143"/>
    </row>
    <row r="55" spans="1:26" x14ac:dyDescent="0.25">
      <c r="A55" s="37">
        <v>45</v>
      </c>
      <c r="B55" s="154"/>
      <c r="C55" s="154"/>
      <c r="D55" s="154"/>
      <c r="E55" s="154"/>
      <c r="F55" s="154"/>
      <c r="G55" s="159"/>
      <c r="H55" s="154"/>
      <c r="I55" s="154"/>
      <c r="J55" s="154"/>
      <c r="K55" s="154"/>
      <c r="L55" s="143"/>
      <c r="M55" s="143"/>
      <c r="N55" s="143"/>
    </row>
    <row r="56" spans="1:26" x14ac:dyDescent="0.25">
      <c r="A56" s="37">
        <v>46</v>
      </c>
      <c r="B56" s="154"/>
      <c r="C56" s="154"/>
      <c r="D56" s="154"/>
      <c r="E56" s="154"/>
      <c r="F56" s="154"/>
      <c r="G56" s="159"/>
      <c r="H56" s="154"/>
      <c r="I56" s="154"/>
      <c r="J56" s="154"/>
      <c r="K56" s="154"/>
      <c r="L56" s="143"/>
      <c r="M56" s="143"/>
      <c r="N56" s="143"/>
    </row>
    <row r="57" spans="1:26" x14ac:dyDescent="0.25">
      <c r="A57" s="37">
        <v>47</v>
      </c>
      <c r="B57" s="154"/>
      <c r="C57" s="154"/>
      <c r="D57" s="154"/>
      <c r="E57" s="154"/>
      <c r="F57" s="154"/>
      <c r="G57" s="159"/>
      <c r="H57" s="154"/>
      <c r="I57" s="154"/>
      <c r="J57" s="154"/>
      <c r="K57" s="154"/>
      <c r="L57" s="143"/>
      <c r="M57" s="143"/>
      <c r="N57" s="143"/>
    </row>
    <row r="58" spans="1:26" x14ac:dyDescent="0.25">
      <c r="A58" s="37">
        <v>48</v>
      </c>
      <c r="B58" s="154"/>
      <c r="C58" s="154"/>
      <c r="D58" s="154"/>
      <c r="E58" s="154"/>
      <c r="F58" s="154"/>
      <c r="G58" s="159"/>
      <c r="H58" s="154"/>
      <c r="I58" s="154"/>
      <c r="J58" s="154"/>
      <c r="K58" s="154"/>
      <c r="L58" s="143"/>
      <c r="M58" s="143"/>
      <c r="N58" s="143"/>
    </row>
    <row r="59" spans="1:26" x14ac:dyDescent="0.25">
      <c r="A59" s="37">
        <v>49</v>
      </c>
      <c r="B59" s="154"/>
      <c r="C59" s="154"/>
      <c r="D59" s="154"/>
      <c r="E59" s="154"/>
      <c r="F59" s="154"/>
      <c r="G59" s="159"/>
      <c r="H59" s="154"/>
      <c r="I59" s="154"/>
      <c r="J59" s="154"/>
      <c r="K59" s="154"/>
      <c r="L59" s="143"/>
      <c r="M59" s="143"/>
      <c r="N59" s="143"/>
    </row>
    <row r="60" spans="1:26" x14ac:dyDescent="0.25">
      <c r="A60" s="37">
        <v>50</v>
      </c>
      <c r="B60" s="154"/>
      <c r="C60" s="154"/>
      <c r="D60" s="154"/>
      <c r="E60" s="154"/>
      <c r="F60" s="154"/>
      <c r="G60" s="159"/>
      <c r="H60" s="154"/>
      <c r="I60" s="154"/>
      <c r="J60" s="154"/>
      <c r="K60" s="154"/>
      <c r="L60" s="143"/>
      <c r="M60" s="143"/>
      <c r="N60" s="143"/>
    </row>
    <row r="61" spans="1:26" x14ac:dyDescent="0.25">
      <c r="A61" s="37">
        <v>51</v>
      </c>
      <c r="B61" s="154"/>
      <c r="C61" s="154"/>
      <c r="D61" s="154"/>
      <c r="E61" s="154"/>
      <c r="F61" s="154"/>
      <c r="G61" s="159"/>
      <c r="H61" s="154"/>
      <c r="I61" s="154"/>
      <c r="J61" s="154"/>
      <c r="K61" s="154"/>
      <c r="L61" s="143"/>
      <c r="M61" s="143"/>
      <c r="N61" s="143"/>
    </row>
    <row r="62" spans="1:26" x14ac:dyDescent="0.25">
      <c r="A62" s="37">
        <v>52</v>
      </c>
      <c r="B62" s="154"/>
      <c r="C62" s="154"/>
      <c r="D62" s="154"/>
      <c r="E62" s="154"/>
      <c r="F62" s="154"/>
      <c r="G62" s="159"/>
      <c r="H62" s="154"/>
      <c r="I62" s="154"/>
      <c r="J62" s="154"/>
      <c r="K62" s="154"/>
      <c r="L62" s="143"/>
      <c r="M62" s="143"/>
      <c r="N62" s="143"/>
    </row>
    <row r="63" spans="1:26" x14ac:dyDescent="0.25">
      <c r="A63" s="37">
        <v>53</v>
      </c>
      <c r="B63" s="154"/>
      <c r="C63" s="154"/>
      <c r="D63" s="154"/>
      <c r="E63" s="154"/>
      <c r="F63" s="154"/>
      <c r="G63" s="159"/>
      <c r="H63" s="154"/>
      <c r="I63" s="154"/>
      <c r="J63" s="154"/>
      <c r="K63" s="154"/>
      <c r="L63" s="143"/>
      <c r="M63" s="143"/>
      <c r="N63" s="143"/>
    </row>
    <row r="64" spans="1:26" x14ac:dyDescent="0.25">
      <c r="B64" s="2"/>
      <c r="C64" s="163">
        <f>SUM(C7:C63)</f>
        <v>160650</v>
      </c>
      <c r="D64" s="163"/>
      <c r="E64" s="163">
        <f t="shared" ref="E64:K64" si="5">SUM(E7:E63)</f>
        <v>0</v>
      </c>
      <c r="F64" s="163"/>
      <c r="G64" s="162">
        <f t="shared" si="5"/>
        <v>137622.8805</v>
      </c>
      <c r="H64" s="163"/>
      <c r="I64" s="163">
        <f t="shared" si="5"/>
        <v>0</v>
      </c>
      <c r="J64" s="163">
        <f t="shared" si="5"/>
        <v>0</v>
      </c>
      <c r="K64" s="163">
        <f t="shared" si="5"/>
        <v>0</v>
      </c>
      <c r="L64" s="163">
        <f>SUM(L7:L63)-SUM(L30:L35)</f>
        <v>188500</v>
      </c>
      <c r="M64" s="163">
        <f>SUM(M7:M63)-SUM(M30:M35)</f>
        <v>36750</v>
      </c>
      <c r="N64" s="163">
        <f>SUM(N7:N63)-SUM(N30:N35)</f>
        <v>0</v>
      </c>
      <c r="Z64" s="2"/>
    </row>
    <row r="65" spans="2:26" x14ac:dyDescent="0.25">
      <c r="B65" s="2"/>
      <c r="C65" s="163"/>
      <c r="D65" s="163"/>
      <c r="E65" s="163"/>
      <c r="F65" s="163"/>
      <c r="G65" s="163"/>
      <c r="H65" s="163"/>
      <c r="I65" s="163"/>
      <c r="J65" s="163">
        <f>SUM(C64:J64)</f>
        <v>298272.88049999997</v>
      </c>
      <c r="K65" s="163"/>
      <c r="Z65" s="2"/>
    </row>
    <row r="66" spans="2:26" x14ac:dyDescent="0.25">
      <c r="B66" s="37" t="s">
        <v>352</v>
      </c>
    </row>
    <row r="67" spans="2:26" x14ac:dyDescent="0.25">
      <c r="B67" s="37" t="s">
        <v>353</v>
      </c>
    </row>
    <row r="68" spans="2:26" x14ac:dyDescent="0.25">
      <c r="B68" s="37" t="s">
        <v>354</v>
      </c>
    </row>
    <row r="69" spans="2:26" x14ac:dyDescent="0.25">
      <c r="B69" s="37" t="s">
        <v>355</v>
      </c>
    </row>
    <row r="70" spans="2:26" x14ac:dyDescent="0.25">
      <c r="B70" s="37" t="s">
        <v>356</v>
      </c>
      <c r="C70" s="37"/>
      <c r="D70" s="37"/>
      <c r="E70" s="37"/>
      <c r="F70" s="37"/>
      <c r="G70" s="37"/>
      <c r="H70" s="37"/>
      <c r="I70" s="37"/>
      <c r="J70" s="37"/>
      <c r="K70" s="37"/>
      <c r="L70" s="37"/>
      <c r="M70" s="37"/>
      <c r="N70" s="37"/>
    </row>
    <row r="71" spans="2:26" x14ac:dyDescent="0.25">
      <c r="B71" s="37" t="s">
        <v>357</v>
      </c>
      <c r="C71" s="37"/>
      <c r="D71" s="37"/>
      <c r="E71" s="37"/>
      <c r="F71" s="37"/>
      <c r="G71" s="37"/>
      <c r="H71" s="37"/>
      <c r="I71" s="37"/>
      <c r="J71" s="37"/>
      <c r="K71" s="37"/>
      <c r="L71" s="37"/>
      <c r="M71" s="37"/>
      <c r="N71" s="37"/>
    </row>
    <row r="72" spans="2:26" x14ac:dyDescent="0.25">
      <c r="B72" s="37" t="s">
        <v>358</v>
      </c>
      <c r="C72" s="37"/>
      <c r="D72" s="37"/>
      <c r="E72" s="37"/>
      <c r="F72" s="37"/>
      <c r="G72" s="37"/>
      <c r="H72" s="37"/>
      <c r="I72" s="37"/>
      <c r="J72" s="37"/>
      <c r="K72" s="37"/>
      <c r="L72" s="37"/>
      <c r="M72" s="37"/>
      <c r="N72" s="37"/>
    </row>
    <row r="73" spans="2:26" x14ac:dyDescent="0.25">
      <c r="B73" s="37" t="s">
        <v>359</v>
      </c>
      <c r="C73" s="37"/>
      <c r="D73" s="37"/>
      <c r="E73" s="37"/>
      <c r="F73" s="37"/>
      <c r="G73" s="37"/>
      <c r="H73" s="37"/>
      <c r="I73" s="37"/>
      <c r="J73" s="37"/>
      <c r="K73" s="37"/>
      <c r="L73" s="37"/>
      <c r="M73" s="37"/>
      <c r="N73" s="37"/>
    </row>
    <row r="74" spans="2:26" x14ac:dyDescent="0.25">
      <c r="B74" s="37" t="s">
        <v>360</v>
      </c>
      <c r="C74" s="37"/>
      <c r="D74" s="37"/>
      <c r="E74" s="37"/>
      <c r="F74" s="37"/>
      <c r="G74" s="37"/>
      <c r="H74" s="37"/>
      <c r="I74" s="37"/>
      <c r="J74" s="37"/>
      <c r="K74" s="37"/>
      <c r="L74" s="37"/>
      <c r="M74" s="37"/>
      <c r="N74" s="37"/>
    </row>
    <row r="75" spans="2:26" x14ac:dyDescent="0.25">
      <c r="B75" s="37" t="s">
        <v>361</v>
      </c>
      <c r="C75" s="37"/>
      <c r="D75" s="37"/>
      <c r="E75" s="37"/>
      <c r="F75" s="37"/>
      <c r="G75" s="37"/>
      <c r="H75" s="37"/>
      <c r="I75" s="37"/>
      <c r="J75" s="37"/>
      <c r="K75" s="37"/>
      <c r="L75" s="37"/>
      <c r="M75" s="37"/>
      <c r="N75" s="37"/>
    </row>
    <row r="77" spans="2:26" x14ac:dyDescent="0.25">
      <c r="B77" s="37" t="s">
        <v>362</v>
      </c>
      <c r="C77" s="37"/>
      <c r="D77" s="37"/>
      <c r="E77" s="37"/>
      <c r="F77" s="37"/>
      <c r="G77" s="37"/>
      <c r="H77" s="37"/>
      <c r="I77" s="37"/>
      <c r="J77" s="37"/>
      <c r="K77" s="37"/>
      <c r="L77" s="37"/>
      <c r="M77" s="37"/>
      <c r="N77" s="37"/>
    </row>
    <row r="79" spans="2:26" x14ac:dyDescent="0.25">
      <c r="B79" s="37" t="s">
        <v>363</v>
      </c>
      <c r="C79" s="37"/>
      <c r="D79" s="37"/>
      <c r="E79" s="37"/>
      <c r="F79" s="37"/>
      <c r="G79" s="37"/>
      <c r="H79" s="37"/>
      <c r="I79" s="37"/>
      <c r="J79" s="37"/>
      <c r="K79" s="37"/>
      <c r="L79" s="37"/>
      <c r="M79" s="37"/>
      <c r="N79" s="37"/>
    </row>
    <row r="81" spans="2:14" x14ac:dyDescent="0.25">
      <c r="B81" s="37" t="s">
        <v>364</v>
      </c>
      <c r="C81" s="37"/>
      <c r="D81" s="37"/>
      <c r="E81" s="37"/>
      <c r="F81" s="37"/>
      <c r="G81" s="37"/>
      <c r="H81" s="37"/>
      <c r="I81" s="37"/>
      <c r="J81" s="37"/>
      <c r="K81" s="37"/>
      <c r="L81" s="37"/>
      <c r="M81" s="37"/>
      <c r="N81" s="37"/>
    </row>
    <row r="83" spans="2:14" x14ac:dyDescent="0.25">
      <c r="B83" s="37" t="s">
        <v>332</v>
      </c>
      <c r="C83" s="37"/>
      <c r="D83" s="37"/>
      <c r="E83" s="37"/>
      <c r="F83" s="37"/>
      <c r="G83" s="37"/>
      <c r="H83" s="37"/>
      <c r="I83" s="37"/>
      <c r="J83" s="37"/>
      <c r="K83" s="37"/>
      <c r="L83" s="37"/>
      <c r="M83" s="37"/>
      <c r="N83" s="37"/>
    </row>
    <row r="84" spans="2:14" x14ac:dyDescent="0.25">
      <c r="B84" s="37" t="s">
        <v>365</v>
      </c>
      <c r="C84" s="37"/>
      <c r="D84" s="37"/>
      <c r="E84" s="37"/>
      <c r="F84" s="37"/>
      <c r="G84" s="37"/>
      <c r="H84" s="37"/>
      <c r="I84" s="37"/>
      <c r="J84" s="37"/>
      <c r="K84" s="37"/>
      <c r="L84" s="37"/>
      <c r="M84" s="37"/>
      <c r="N84" s="37"/>
    </row>
    <row r="86" spans="2:14" x14ac:dyDescent="0.25">
      <c r="B86" s="37" t="s">
        <v>366</v>
      </c>
      <c r="C86" s="37"/>
      <c r="D86" s="37"/>
      <c r="E86" s="37"/>
      <c r="F86" s="37"/>
      <c r="G86" s="37"/>
      <c r="H86" s="37"/>
      <c r="I86" s="37"/>
      <c r="J86" s="37"/>
      <c r="K86" s="37"/>
      <c r="L86" s="37"/>
      <c r="M86" s="37"/>
      <c r="N86" s="37"/>
    </row>
    <row r="87" spans="2:14" x14ac:dyDescent="0.25">
      <c r="B87" s="37" t="s">
        <v>367</v>
      </c>
      <c r="C87" s="37"/>
      <c r="D87" s="37"/>
      <c r="E87" s="37"/>
      <c r="F87" s="37"/>
      <c r="G87" s="37"/>
      <c r="H87" s="37"/>
      <c r="I87" s="37"/>
      <c r="J87" s="37"/>
      <c r="K87" s="37"/>
      <c r="L87" s="37"/>
      <c r="M87" s="37"/>
      <c r="N87" s="37"/>
    </row>
    <row r="88" spans="2:14" x14ac:dyDescent="0.25">
      <c r="B88" s="37" t="s">
        <v>368</v>
      </c>
      <c r="C88" s="37"/>
      <c r="D88" s="37"/>
      <c r="E88" s="37"/>
      <c r="F88" s="37"/>
      <c r="G88" s="37"/>
      <c r="H88" s="37"/>
      <c r="I88" s="37"/>
      <c r="J88" s="37"/>
      <c r="K88" s="37"/>
      <c r="L88" s="37"/>
      <c r="M88" s="37"/>
      <c r="N88" s="37"/>
    </row>
    <row r="89" spans="2:14" x14ac:dyDescent="0.25">
      <c r="B89" s="37" t="s">
        <v>369</v>
      </c>
      <c r="C89" s="37"/>
      <c r="D89" s="37"/>
      <c r="E89" s="37"/>
      <c r="F89" s="37"/>
      <c r="G89" s="37"/>
      <c r="H89" s="37"/>
      <c r="I89" s="37"/>
      <c r="J89" s="37"/>
      <c r="K89" s="37"/>
      <c r="L89" s="37"/>
      <c r="M89" s="37"/>
      <c r="N89" s="37"/>
    </row>
    <row r="90" spans="2:14" x14ac:dyDescent="0.25">
      <c r="B90" s="37" t="s">
        <v>370</v>
      </c>
      <c r="C90" s="37"/>
      <c r="D90" s="37"/>
      <c r="E90" s="37"/>
      <c r="F90" s="37"/>
      <c r="G90" s="37"/>
      <c r="H90" s="37"/>
      <c r="I90" s="37"/>
      <c r="J90" s="37"/>
      <c r="K90" s="37"/>
      <c r="L90" s="37"/>
      <c r="M90" s="37"/>
      <c r="N90" s="37"/>
    </row>
    <row r="92" spans="2:14" x14ac:dyDescent="0.25">
      <c r="B92" s="37" t="s">
        <v>371</v>
      </c>
      <c r="C92" s="37"/>
      <c r="D92" s="37"/>
      <c r="E92" s="37"/>
      <c r="F92" s="37"/>
      <c r="G92" s="37"/>
      <c r="H92" s="37"/>
      <c r="I92" s="37"/>
      <c r="J92" s="37"/>
      <c r="K92" s="37"/>
      <c r="L92" s="37"/>
      <c r="M92" s="37"/>
      <c r="N92" s="37"/>
    </row>
  </sheetData>
  <mergeCells count="5">
    <mergeCell ref="B3:I3"/>
    <mergeCell ref="B5:C5"/>
    <mergeCell ref="D5:E5"/>
    <mergeCell ref="F5:G5"/>
    <mergeCell ref="H5:I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103</vt:i4>
      </vt:variant>
      <vt:variant>
        <vt:lpstr>Plages nommées</vt:lpstr>
      </vt:variant>
      <vt:variant>
        <vt:i4>82</vt:i4>
      </vt:variant>
    </vt:vector>
  </HeadingPairs>
  <TitlesOfParts>
    <vt:vector size="185" baseType="lpstr">
      <vt:lpstr>Objectifs CO2</vt:lpstr>
      <vt:lpstr>Objectifs ECO</vt:lpstr>
      <vt:lpstr>Objectifs PER</vt:lpstr>
      <vt:lpstr>Synthèse CO2</vt:lpstr>
      <vt:lpstr>Synthèse ECO</vt:lpstr>
      <vt:lpstr>Synthèse PER</vt:lpstr>
      <vt:lpstr>Budget</vt:lpstr>
      <vt:lpstr>ADO-1</vt:lpstr>
      <vt:lpstr>ADO-2</vt:lpstr>
      <vt:lpstr>ADO-3</vt:lpstr>
      <vt:lpstr>ADO-4</vt:lpstr>
      <vt:lpstr>ADO-5</vt:lpstr>
      <vt:lpstr>ADO-6</vt:lpstr>
      <vt:lpstr>ADO-7</vt:lpstr>
      <vt:lpstr>ADO-8</vt:lpstr>
      <vt:lpstr>ADO-9</vt:lpstr>
      <vt:lpstr>ADO-10</vt:lpstr>
      <vt:lpstr>ADO-11</vt:lpstr>
      <vt:lpstr>ADO-12</vt:lpstr>
      <vt:lpstr>ADO-13</vt:lpstr>
      <vt:lpstr>ADO-14</vt:lpstr>
      <vt:lpstr>ADO-15</vt:lpstr>
      <vt:lpstr>ADO-16</vt:lpstr>
      <vt:lpstr>ADO-17</vt:lpstr>
      <vt:lpstr>ADU-1</vt:lpstr>
      <vt:lpstr>ADU-2</vt:lpstr>
      <vt:lpstr>ADU-221</vt:lpstr>
      <vt:lpstr>ADU-222</vt:lpstr>
      <vt:lpstr>ADU-223</vt:lpstr>
      <vt:lpstr>ADU-3</vt:lpstr>
      <vt:lpstr>ADU-5</vt:lpstr>
      <vt:lpstr>ADU-51</vt:lpstr>
      <vt:lpstr>ADU-52</vt:lpstr>
      <vt:lpstr>ADU-53</vt:lpstr>
      <vt:lpstr>ADU-6</vt:lpstr>
      <vt:lpstr>ADU-61</vt:lpstr>
      <vt:lpstr>ADU-62</vt:lpstr>
      <vt:lpstr>ADU-7</vt:lpstr>
      <vt:lpstr>ADU-8</vt:lpstr>
      <vt:lpstr>ADU-9</vt:lpstr>
      <vt:lpstr>ADU-10</vt:lpstr>
      <vt:lpstr>ADU-110</vt:lpstr>
      <vt:lpstr>ADU-111</vt:lpstr>
      <vt:lpstr>ADU-112</vt:lpstr>
      <vt:lpstr>ADU-113</vt:lpstr>
      <vt:lpstr>ADU-114</vt:lpstr>
      <vt:lpstr>ADU-12</vt:lpstr>
      <vt:lpstr>ADU-13</vt:lpstr>
      <vt:lpstr>ADU-131</vt:lpstr>
      <vt:lpstr>ADU-14</vt:lpstr>
      <vt:lpstr>ADU-15</vt:lpstr>
      <vt:lpstr>ADU-16</vt:lpstr>
      <vt:lpstr>ADU-17</vt:lpstr>
      <vt:lpstr>ADU-18</vt:lpstr>
      <vt:lpstr>ADU-19</vt:lpstr>
      <vt:lpstr>ADU-20</vt:lpstr>
      <vt:lpstr>ADU-21</vt:lpstr>
      <vt:lpstr>ADU-22</vt:lpstr>
      <vt:lpstr>ADU-23</vt:lpstr>
      <vt:lpstr>ADU-24</vt:lpstr>
      <vt:lpstr>ADU-25</vt:lpstr>
      <vt:lpstr>ADU-26</vt:lpstr>
      <vt:lpstr>ADU-261</vt:lpstr>
      <vt:lpstr>ADU-27</vt:lpstr>
      <vt:lpstr>ADU-28</vt:lpstr>
      <vt:lpstr>ADU-29</vt:lpstr>
      <vt:lpstr>ADU-30</vt:lpstr>
      <vt:lpstr>ADU-31</vt:lpstr>
      <vt:lpstr>ADU-311</vt:lpstr>
      <vt:lpstr>ADU-32</vt:lpstr>
      <vt:lpstr>ADU-33</vt:lpstr>
      <vt:lpstr>ADU-331</vt:lpstr>
      <vt:lpstr>ADU-332</vt:lpstr>
      <vt:lpstr>ADU-333</vt:lpstr>
      <vt:lpstr>ADU-34</vt:lpstr>
      <vt:lpstr>ADU-341</vt:lpstr>
      <vt:lpstr>ADU-35</vt:lpstr>
      <vt:lpstr>ADU-351</vt:lpstr>
      <vt:lpstr>ADU-361</vt:lpstr>
      <vt:lpstr>ADU-362</vt:lpstr>
      <vt:lpstr>ADU-363</vt:lpstr>
      <vt:lpstr>ADU-364</vt:lpstr>
      <vt:lpstr>ADU-365</vt:lpstr>
      <vt:lpstr>ADU-37</vt:lpstr>
      <vt:lpstr>ADU-371</vt:lpstr>
      <vt:lpstr>ADU-38</vt:lpstr>
      <vt:lpstr>ADU-381</vt:lpstr>
      <vt:lpstr>ADU-389</vt:lpstr>
      <vt:lpstr>ADU-39</vt:lpstr>
      <vt:lpstr>ADU-40</vt:lpstr>
      <vt:lpstr>ADU-41</vt:lpstr>
      <vt:lpstr>ADU-42</vt:lpstr>
      <vt:lpstr>ADU-43</vt:lpstr>
      <vt:lpstr>ADU-44</vt:lpstr>
      <vt:lpstr>TOIT</vt:lpstr>
      <vt:lpstr>MUR</vt:lpstr>
      <vt:lpstr>SOL</vt:lpstr>
      <vt:lpstr>FEN</vt:lpstr>
      <vt:lpstr>CHAUD</vt:lpstr>
      <vt:lpstr>RESUM</vt:lpstr>
      <vt:lpstr>RESUME CRITERES</vt:lpstr>
      <vt:lpstr>CALENDRIER</vt:lpstr>
      <vt:lpstr>Feuil1</vt:lpstr>
      <vt:lpstr>'ADO-1'!Zone_d_impression</vt:lpstr>
      <vt:lpstr>'ADO-10'!Zone_d_impression</vt:lpstr>
      <vt:lpstr>'ADO-11'!Zone_d_impression</vt:lpstr>
      <vt:lpstr>'ADO-12'!Zone_d_impression</vt:lpstr>
      <vt:lpstr>'ADO-13'!Zone_d_impression</vt:lpstr>
      <vt:lpstr>'ADO-14'!Zone_d_impression</vt:lpstr>
      <vt:lpstr>'ADO-15'!Zone_d_impression</vt:lpstr>
      <vt:lpstr>'ADO-2'!Zone_d_impression</vt:lpstr>
      <vt:lpstr>'ADO-3'!Zone_d_impression</vt:lpstr>
      <vt:lpstr>'ADO-4'!Zone_d_impression</vt:lpstr>
      <vt:lpstr>'ADO-5'!Zone_d_impression</vt:lpstr>
      <vt:lpstr>'ADO-6'!Zone_d_impression</vt:lpstr>
      <vt:lpstr>'ADO-7'!Zone_d_impression</vt:lpstr>
      <vt:lpstr>'ADO-8'!Zone_d_impression</vt:lpstr>
      <vt:lpstr>'ADO-9'!Zone_d_impression</vt:lpstr>
      <vt:lpstr>'ADU-1'!Zone_d_impression</vt:lpstr>
      <vt:lpstr>'ADU-10'!Zone_d_impression</vt:lpstr>
      <vt:lpstr>'ADU-110'!Zone_d_impression</vt:lpstr>
      <vt:lpstr>'ADU-111'!Zone_d_impression</vt:lpstr>
      <vt:lpstr>'ADU-112'!Zone_d_impression</vt:lpstr>
      <vt:lpstr>'ADU-113'!Zone_d_impression</vt:lpstr>
      <vt:lpstr>'ADU-114'!Zone_d_impression</vt:lpstr>
      <vt:lpstr>'ADU-12'!Zone_d_impression</vt:lpstr>
      <vt:lpstr>'ADU-13'!Zone_d_impression</vt:lpstr>
      <vt:lpstr>'ADU-131'!Zone_d_impression</vt:lpstr>
      <vt:lpstr>'ADU-14'!Zone_d_impression</vt:lpstr>
      <vt:lpstr>'ADU-15'!Zone_d_impression</vt:lpstr>
      <vt:lpstr>'ADU-16'!Zone_d_impression</vt:lpstr>
      <vt:lpstr>'ADU-17'!Zone_d_impression</vt:lpstr>
      <vt:lpstr>'ADU-18'!Zone_d_impression</vt:lpstr>
      <vt:lpstr>'ADU-19'!Zone_d_impression</vt:lpstr>
      <vt:lpstr>'ADU-2'!Zone_d_impression</vt:lpstr>
      <vt:lpstr>'ADU-20'!Zone_d_impression</vt:lpstr>
      <vt:lpstr>'ADU-21'!Zone_d_impression</vt:lpstr>
      <vt:lpstr>'ADU-22'!Zone_d_impression</vt:lpstr>
      <vt:lpstr>'ADU-221'!Zone_d_impression</vt:lpstr>
      <vt:lpstr>'ADU-222'!Zone_d_impression</vt:lpstr>
      <vt:lpstr>'ADU-223'!Zone_d_impression</vt:lpstr>
      <vt:lpstr>'ADU-23'!Zone_d_impression</vt:lpstr>
      <vt:lpstr>'ADU-24'!Zone_d_impression</vt:lpstr>
      <vt:lpstr>'ADU-25'!Zone_d_impression</vt:lpstr>
      <vt:lpstr>'ADU-26'!Zone_d_impression</vt:lpstr>
      <vt:lpstr>'ADU-261'!Zone_d_impression</vt:lpstr>
      <vt:lpstr>'ADU-27'!Zone_d_impression</vt:lpstr>
      <vt:lpstr>'ADU-28'!Zone_d_impression</vt:lpstr>
      <vt:lpstr>'ADU-29'!Zone_d_impression</vt:lpstr>
      <vt:lpstr>'ADU-3'!Zone_d_impression</vt:lpstr>
      <vt:lpstr>'ADU-30'!Zone_d_impression</vt:lpstr>
      <vt:lpstr>'ADU-31'!Zone_d_impression</vt:lpstr>
      <vt:lpstr>'ADU-311'!Zone_d_impression</vt:lpstr>
      <vt:lpstr>'ADU-32'!Zone_d_impression</vt:lpstr>
      <vt:lpstr>'ADU-33'!Zone_d_impression</vt:lpstr>
      <vt:lpstr>'ADU-34'!Zone_d_impression</vt:lpstr>
      <vt:lpstr>'ADU-341'!Zone_d_impression</vt:lpstr>
      <vt:lpstr>'ADU-35'!Zone_d_impression</vt:lpstr>
      <vt:lpstr>'ADU-361'!Zone_d_impression</vt:lpstr>
      <vt:lpstr>'ADU-362'!Zone_d_impression</vt:lpstr>
      <vt:lpstr>'ADU-363'!Zone_d_impression</vt:lpstr>
      <vt:lpstr>'ADU-364'!Zone_d_impression</vt:lpstr>
      <vt:lpstr>'ADU-365'!Zone_d_impression</vt:lpstr>
      <vt:lpstr>'ADU-37'!Zone_d_impression</vt:lpstr>
      <vt:lpstr>'ADU-38'!Zone_d_impression</vt:lpstr>
      <vt:lpstr>'ADU-381'!Zone_d_impression</vt:lpstr>
      <vt:lpstr>'ADU-389'!Zone_d_impression</vt:lpstr>
      <vt:lpstr>'ADU-39'!Zone_d_impression</vt:lpstr>
      <vt:lpstr>'ADU-40'!Zone_d_impression</vt:lpstr>
      <vt:lpstr>'ADU-41'!Zone_d_impression</vt:lpstr>
      <vt:lpstr>'ADU-42'!Zone_d_impression</vt:lpstr>
      <vt:lpstr>'ADU-43'!Zone_d_impression</vt:lpstr>
      <vt:lpstr>'ADU-44'!Zone_d_impression</vt:lpstr>
      <vt:lpstr>'ADU-5'!Zone_d_impression</vt:lpstr>
      <vt:lpstr>'ADU-6'!Zone_d_impression</vt:lpstr>
      <vt:lpstr>'ADU-61'!Zone_d_impression</vt:lpstr>
      <vt:lpstr>'ADU-7'!Zone_d_impression</vt:lpstr>
      <vt:lpstr>'ADU-8'!Zone_d_impression</vt:lpstr>
      <vt:lpstr>'ADU-9'!Zone_d_impression</vt:lpstr>
      <vt:lpstr>'Objectifs CO2'!Zone_d_impression</vt:lpstr>
      <vt:lpstr>'Objectifs ECO'!Zone_d_impression</vt:lpstr>
      <vt:lpstr>'Objectifs PER'!Zone_d_impression</vt:lpstr>
      <vt:lpstr>'Synthèse CO2'!Zone_d_impression</vt:lpstr>
      <vt:lpstr>'Synthèse ECO'!Zone_d_impression</vt:lpstr>
      <vt:lpstr>'Synthèse PER'!Zone_d_impression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Conrotte</dc:creator>
  <cp:lastModifiedBy>Daniel Conrotte</cp:lastModifiedBy>
  <cp:lastPrinted>2015-12-07T10:57:09Z</cp:lastPrinted>
  <dcterms:created xsi:type="dcterms:W3CDTF">2014-01-06T14:20:18Z</dcterms:created>
  <dcterms:modified xsi:type="dcterms:W3CDTF">2018-10-26T11:04:06Z</dcterms:modified>
</cp:coreProperties>
</file>